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8" yWindow="120" windowWidth="12936" windowHeight="8712" activeTab="0"/>
  </bookViews>
  <sheets>
    <sheet name="Sheet1" sheetId="1" r:id="rId1"/>
    <sheet name="Sheet2" sheetId="2" r:id="rId2"/>
  </sheets>
  <definedNames>
    <definedName name="Disclaimer__amp__Warning" localSheetId="0">'Sheet1'!$B$6:$B$6</definedName>
  </definedNames>
  <calcPr fullCalcOnLoad="1"/>
</workbook>
</file>

<file path=xl/sharedStrings.xml><?xml version="1.0" encoding="utf-8"?>
<sst xmlns="http://schemas.openxmlformats.org/spreadsheetml/2006/main" count="160" uniqueCount="143">
  <si>
    <t>Example</t>
  </si>
  <si>
    <t>3.5" diameter</t>
  </si>
  <si>
    <t>Target Air Velocity</t>
  </si>
  <si>
    <t>Optimum Duct Diameter</t>
  </si>
  <si>
    <t>CFM Required:</t>
  </si>
  <si>
    <t>Run the calculation for only your longest, most complex branch from the hood to the collector.</t>
  </si>
  <si>
    <t>Assumptions, comments, and notes:</t>
  </si>
  <si>
    <t xml:space="preserve">Instructions: </t>
  </si>
  <si>
    <t>STATIC PRESSURE CALCULATION SHEET</t>
  </si>
  <si>
    <t>4" diameter</t>
  </si>
  <si>
    <t>5" diameter</t>
  </si>
  <si>
    <t>Wye</t>
  </si>
  <si>
    <t>VP</t>
  </si>
  <si>
    <t>SUBTOTAL LOSSES:</t>
  </si>
  <si>
    <t>Subtotal losses:</t>
  </si>
  <si>
    <t>inches WC</t>
  </si>
  <si>
    <t>READ THE EXAMPLE PROBLEM!  THIS IS REQUIRED!!!</t>
  </si>
  <si>
    <t>Ducting:</t>
  </si>
  <si>
    <t>Duct Size Inches</t>
  </si>
  <si>
    <t>Duct Area Square Inches</t>
  </si>
  <si>
    <t>6" diameter</t>
  </si>
  <si>
    <t>7" Diameter</t>
  </si>
  <si>
    <t>8" diameter</t>
  </si>
  <si>
    <t>Enter 4.5" if used</t>
  </si>
  <si>
    <t>10" diameter</t>
  </si>
  <si>
    <t>12" diameter</t>
  </si>
  <si>
    <t>Diameter</t>
  </si>
  <si>
    <t>Maximum Vertical Duct Diameter Without Plugging</t>
  </si>
  <si>
    <t>Maximum Horizontal Duct Diameter Without Piles and Fire Risk</t>
  </si>
  <si>
    <t>This includes filter seasoning and other overhead resistance typical for a small shop.</t>
  </si>
  <si>
    <t>Calculated Velocity, FPM</t>
  </si>
  <si>
    <r>
      <t xml:space="preserve">Basic System Design: </t>
    </r>
    <r>
      <rPr>
        <sz val="12"/>
        <color indexed="60"/>
        <rFont val="Arial"/>
        <family val="2"/>
      </rPr>
      <t xml:space="preserve">
There are two practical ways to design your DC system in order to get optimum results.</t>
    </r>
  </si>
  <si>
    <r>
      <t xml:space="preserve">1) </t>
    </r>
    <r>
      <rPr>
        <b/>
        <sz val="12"/>
        <color indexed="60"/>
        <rFont val="Arial"/>
        <family val="2"/>
      </rPr>
      <t xml:space="preserve">Commercial: </t>
    </r>
    <r>
      <rPr>
        <sz val="12"/>
        <color indexed="60"/>
        <rFont val="Arial"/>
        <family val="2"/>
      </rPr>
      <t xml:space="preserve">Size your ducting/DC for the total requirements of the entire shop with </t>
    </r>
    <r>
      <rPr>
        <b/>
        <sz val="12"/>
        <color indexed="60"/>
        <rFont val="Arial"/>
        <family val="2"/>
      </rPr>
      <t>NO BLAST GATES</t>
    </r>
    <r>
      <rPr>
        <sz val="12"/>
        <color indexed="60"/>
        <rFont val="Arial"/>
        <family val="2"/>
      </rPr>
      <t xml:space="preserve">.  Air engineers design commercial dust collection systems with all ducting runs open at once to collect the dust from all machines running at the same time.  All ductwork drops are sized to provide the minimum CFM requirements for each machine.  The main becomes a collection of ever bigger sized pipes sized to meet the CFM of all downstream ductwork.  The </t>
    </r>
    <r>
      <rPr>
        <b/>
        <sz val="12"/>
        <color indexed="60"/>
        <rFont val="Arial"/>
        <family val="2"/>
      </rPr>
      <t>Air Laws</t>
    </r>
    <r>
      <rPr>
        <sz val="12"/>
        <color indexed="60"/>
        <rFont val="Arial"/>
        <family val="2"/>
      </rPr>
      <t xml:space="preserve"> show us that to double the airflow we need three times the power. Just a two person shop running a couple of runs at the same time requires a 10 hp motor turning a huge 18" diameter blower impeller.  Motors this big normally only work with three-phase power, require commercial instead of residential incoming power, and require much heavier wiring than found in most residences. 
 </t>
    </r>
  </si>
  <si>
    <r>
      <t>2)</t>
    </r>
    <r>
      <rPr>
        <b/>
        <sz val="12"/>
        <color indexed="60"/>
        <rFont val="Arial"/>
        <family val="2"/>
      </rPr>
      <t xml:space="preserve"> Small Shop: </t>
    </r>
    <r>
      <rPr>
        <sz val="12"/>
        <color indexed="60"/>
        <rFont val="Arial"/>
        <family val="2"/>
      </rPr>
      <t>Most small shop owners cannot build dust collection systems similar to commercial systems because we lack the power service, wiring, and don't want to pay the cost to buy or run a huge motor.  As a result, our</t>
    </r>
    <r>
      <rPr>
        <b/>
        <sz val="12"/>
        <color indexed="60"/>
        <rFont val="Arial"/>
        <family val="2"/>
      </rPr>
      <t xml:space="preserve"> systems</t>
    </r>
    <r>
      <rPr>
        <sz val="12"/>
        <color indexed="60"/>
        <rFont val="Arial"/>
        <family val="2"/>
      </rPr>
      <t xml:space="preserve"> are designed to use the smaller, much more efficient blowers that can </t>
    </r>
    <r>
      <rPr>
        <b/>
        <sz val="12"/>
        <color indexed="60"/>
        <rFont val="Arial"/>
        <family val="2"/>
      </rPr>
      <t>only collect from one machine at a time</t>
    </r>
    <r>
      <rPr>
        <sz val="12"/>
        <color indexed="60"/>
        <rFont val="Arial"/>
        <family val="2"/>
      </rPr>
      <t>.  All other ducting runs are closed off with blast gates.  This lets us use a blower just big enough to meet the airflow needed for fine dust collection at our largest machine using our highest resistance ducting run.  We should size our ducting and dust collector for the maximum CFM requirements of our largest machine, and size the ductwork for the longest possible run.  This will allow only one machine at a time, but it lets you move machines around without needing to buy a bigger blower and motor.</t>
    </r>
  </si>
  <si>
    <r>
      <t xml:space="preserve">Blast Gates: </t>
    </r>
    <r>
      <rPr>
        <sz val="12"/>
        <color indexed="60"/>
        <rFont val="Arial"/>
        <family val="2"/>
      </rPr>
      <t xml:space="preserve">Normally we put a blast gate as close as we can to the main for each machine to leave the least possible pipe to build up piles when their runs are not open. Putting the blast gate down low lets lots of debris build up in the pipe.  When the gate gets opened, this material can slam around, potentially ruining blowers and especially filters. </t>
    </r>
  </si>
  <si>
    <r>
      <t>Return Duct:</t>
    </r>
    <r>
      <rPr>
        <sz val="12"/>
        <color indexed="60"/>
        <rFont val="Arial"/>
        <family val="2"/>
      </rPr>
      <t xml:space="preserve"> If there will be return duct moving the cleaned air back inside your shop from an outside cyclone, it only needs to provide 2000 FPM speed.  To determine that return duct size, simply select the size to run at 2000 FPM or less with your max CFM machine.  Leave it in each branch calc.  The same applies when sizing the return for a cyclone or muffler. </t>
    </r>
  </si>
  <si>
    <t xml:space="preserve">   4000 is recommended</t>
  </si>
  <si>
    <t xml:space="preserve">Std. Bag = 2.5", &lt; 5 Micron Bags = 1", 225 sq ft filter = 0.5", 300 sq ft filter = 0.3",                                              450 sq ft filter = 0.25", 600 sq ft filter = 0.2" </t>
  </si>
  <si>
    <t>Muffler = 0.15"</t>
  </si>
  <si>
    <t>Duct Diameter, Inches</t>
  </si>
  <si>
    <t>Calculated Velocity is</t>
  </si>
  <si>
    <t>Note: If SP is over 12" you probably need to use a bigger diameter pipe!</t>
  </si>
  <si>
    <t>Feet of Flex Hose:</t>
  </si>
  <si>
    <t>Flex Hose:</t>
  </si>
  <si>
    <t>Flex 90s:</t>
  </si>
  <si>
    <t>Flex Hose</t>
  </si>
  <si>
    <t xml:space="preserve"> where</t>
  </si>
  <si>
    <t xml:space="preserve"> q = air volume flow (CFM)</t>
  </si>
  <si>
    <t xml:space="preserve"> d = duct diameter (inches)</t>
  </si>
  <si>
    <t xml:space="preserve"> = P * (1.55 * d - 1.6)  Cincinnati Fan Booklet</t>
  </si>
  <si>
    <t xml:space="preserve"> = 3 * P  Air Handling Systems Booklet from www.airhand.com</t>
  </si>
  <si>
    <t>90's (1.5 R/D):</t>
  </si>
  <si>
    <t>90's (2.0 R/D):</t>
  </si>
  <si>
    <t>90's (2.5 R/D):</t>
  </si>
  <si>
    <t>Wyes:</t>
  </si>
  <si>
    <t>90 (1.5 R/D)</t>
  </si>
  <si>
    <t xml:space="preserve"> = P * (2.24 * d - 2.25)  Cincinnati Fan Booklet</t>
  </si>
  <si>
    <t xml:space="preserve"> = P * (1.58 * d - 2.14)  Cincinnati Fan Booklet</t>
  </si>
  <si>
    <t xml:space="preserve"> = P * (1.21 * d - 1.04)  Cincinnati Fan Booklet</t>
  </si>
  <si>
    <t>Hood (square edge):</t>
  </si>
  <si>
    <t>Hood (square edge)</t>
  </si>
  <si>
    <t>Flex 90</t>
  </si>
  <si>
    <t>90 (2.0 R/D)</t>
  </si>
  <si>
    <t>90 (2.5 R/D)</t>
  </si>
  <si>
    <t>Flex 90's:</t>
  </si>
  <si>
    <t xml:space="preserve"> = 3 * P * (1.21 * d - 1.04)  Assume a flex 90 is similar to a pipe 90 with a 2.5 R/D</t>
  </si>
  <si>
    <t>Trashcan Separator</t>
  </si>
  <si>
    <t>Cyclone</t>
  </si>
  <si>
    <t>Filters</t>
  </si>
  <si>
    <t>Muffler</t>
  </si>
  <si>
    <t>Misc Losses:</t>
  </si>
  <si>
    <t>Overhead Losses:</t>
  </si>
  <si>
    <t>If you are looking at a cyclone DC whose fan curve says something like "Static Pressure at Cyclone Inlet", then</t>
  </si>
  <si>
    <t>the four Misc Losses above are already accounted for and should be left blank or set to zero.</t>
  </si>
  <si>
    <t>Enter 4.5" for Wood Mag. &amp; similar, 3.5" with neutral vane, 3.0" with air ramp, and 2.25" for Pentz cyclone</t>
  </si>
  <si>
    <t>Enter 45 degree elbows as 0.5 90's (e.g., two 90's and one 45 would be entered as 2.5)</t>
  </si>
  <si>
    <t>Hood (round/taper edge):</t>
  </si>
  <si>
    <t>Hood (round/taper edge)</t>
  </si>
  <si>
    <t>Input 1 for the number of hoods under the correct duct diameter column for the type of hood you have (square or round/taper edge).</t>
  </si>
  <si>
    <t>Enter the number of wyes.</t>
  </si>
  <si>
    <t>Enter the number of feet of straight pipe.</t>
  </si>
  <si>
    <t>Enter the number of flex 90's.  This is an estimate of how much your flex hose is bent.  If it goes straight to the tool, enter zero.</t>
  </si>
  <si>
    <t>Enter the number of feet of flex hose.</t>
  </si>
  <si>
    <t xml:space="preserve">A return line can be added in to each run.  It will be included in the total drop.  See the sample problem. </t>
  </si>
  <si>
    <t>Square edge</t>
  </si>
  <si>
    <t>Round edge</t>
  </si>
  <si>
    <t>Taper edge</t>
  </si>
  <si>
    <t xml:space="preserve">Enter the number of pipe 90's.  Count 0.5 for each 45 degree bend and 1.0 for each full 90. </t>
  </si>
  <si>
    <t xml:space="preserve">     R/D is the ratio of the bend's centerline radius divided by the pipe diameter.  </t>
  </si>
  <si>
    <t xml:space="preserve">     You are not limited to one type, but can enter a mix of different radius bends.</t>
  </si>
  <si>
    <r>
      <t xml:space="preserve">In this example shop, neither the planer run nor the radial arm saw run is ample to size our system.  The ducting run to our planer is the longest possible for this shop and our radial arm saw has the most overhead.  The planer overhead is small because it uses a simple single 6" port.  The radial arm saw needs both a sweep up hood plus flex hose blade guard pickup hood.  </t>
    </r>
    <r>
      <rPr>
        <b/>
        <sz val="12"/>
        <rFont val="Arial"/>
        <family val="2"/>
      </rPr>
      <t>Figuring out the maximum for any shop requires finding your largest resistance tool (normally the one with the most hoods and the most small hoses), calculating the resistance for the longest run, then adding the resistance for the tool with the highest ducting resistance plus the overhead of your separator, cyclone, and filters.</t>
    </r>
  </si>
  <si>
    <r>
      <t xml:space="preserve">The system is made of 3.5", 4", 5", 6", 7" or 8" standard galvanized metal dust collection ducting. </t>
    </r>
    <r>
      <rPr>
        <b/>
        <sz val="12"/>
        <rFont val="Arial"/>
        <family val="2"/>
      </rPr>
      <t xml:space="preserve"> Nothing smaller than 3.5" duct will be used anywhere </t>
    </r>
    <r>
      <rPr>
        <sz val="12"/>
        <rFont val="Arial"/>
        <family val="2"/>
      </rPr>
      <t xml:space="preserve">because we know that would kill the airflow needed from our blower for fine dust collection.  </t>
    </r>
  </si>
  <si>
    <r>
      <t xml:space="preserve">The 8", 10", and 12" losses are for furnace pipe used on the </t>
    </r>
    <r>
      <rPr>
        <b/>
        <sz val="12"/>
        <rFont val="Arial"/>
        <family val="2"/>
      </rPr>
      <t xml:space="preserve">RETURN LINE ONLY. </t>
    </r>
  </si>
  <si>
    <r>
      <t>Duct size should remain constant from the tool to the dust collector.  It should</t>
    </r>
    <r>
      <rPr>
        <b/>
        <sz val="12"/>
        <rFont val="Arial"/>
        <family val="2"/>
      </rPr>
      <t xml:space="preserve"> NEVER get smaller</t>
    </r>
    <r>
      <rPr>
        <sz val="12"/>
        <rFont val="Arial"/>
        <family val="2"/>
      </rPr>
      <t xml:space="preserve"> as it gets closer to the dust collector.  It is usually okay if the pipe gets one size bigger.  </t>
    </r>
  </si>
  <si>
    <t>B. Sudy / B. Pentz</t>
  </si>
  <si>
    <t>For starters, it is useful to have a sketched layout of your shop, with the tools in place, and the centerlines of all the ducts run.  Ideally we want to create the shortest runs, with the least number of bends and with the right sized ducting.  Practically, because equipment will change and move around, we need to create a system that is flexible and will permit changes.  The best compromise is centering the dust collector as much as possible then running either a center main or a pair of mains on opposite walls. In this example, we have a 20 x 20 foot shop. Power concerns forced us to put the cyclone centered on the east wall and run an 18' long duct down the center of the shop.  By placing our cyclone right at the end of this duct run, we used a pair of 45 degree elbows and 1.5' of 6" flex hose to connect the cyclone to the main.  The flex hose helps control noise by not allowing our ducting to serve as a sounding board, plus it makes our connection easier.</t>
  </si>
  <si>
    <r>
      <t xml:space="preserve">Even with the right sizing, dual port machines may still need further adjustment to keep a larger duct from stealing all the flow from a smaller duct!  </t>
    </r>
    <r>
      <rPr>
        <sz val="12"/>
        <rFont val="Arial"/>
        <family val="2"/>
      </rPr>
      <t>Any size variation, constriction in the tool, and even resistance of the different hoses will significantly alter how much air goes to each collection point.  Proper balancing can require use of a wye with a baffle to direct the airflow and dual gauges to ensure ample airflow to both legs.</t>
    </r>
  </si>
  <si>
    <t>CFM Starting with 6" pipe at 1000 CFM</t>
  </si>
  <si>
    <t>TOTAL LOSS:</t>
  </si>
  <si>
    <t>Feet of Straight Duct:</t>
  </si>
  <si>
    <t>Duct:</t>
  </si>
  <si>
    <t>Duct</t>
  </si>
  <si>
    <t xml:space="preserve"> P = pressure loss (inches of water / 100 ft of duct)</t>
  </si>
  <si>
    <t>where</t>
  </si>
  <si>
    <t xml:space="preserve"> = 0.5 * VP + 5 * P</t>
  </si>
  <si>
    <t>5 * P is an approximation of the loss in the tool</t>
  </si>
  <si>
    <t>0.07 * P is the entry loss for a flanged cone from the Cincinnati Fan Booklet</t>
  </si>
  <si>
    <t>0.5 * P is the entry loss for a flanged pipe from the Cincinnati Fan Booklet</t>
  </si>
  <si>
    <t>Click here to see the CFM Requirements Table</t>
  </si>
  <si>
    <t>From the CFM Requirements Table in the link above, input the CFM Required for our largest tool (normally 1000 to meet recommended air quality).  Input the target air velocity in FPM for your ducting.  The air speed needs to convey whatever material you want to move.  For example, we need about 2000 FPM to carry clean air but need about 4000 FPM to carry sawdust and chips without plugging vertical runs.  This immediately calculates the most efficient optimum duct diameter.  Using smaller duct will kill our needed total air volume unless we use an oversized impeller to increase pressure and air velocity, e.g. we need 5000 FPM to move 1000 CFM through 6" duct.</t>
  </si>
  <si>
    <t>The hood loss is a combination of the pipe entry loss (either 0.5 * VP or 0.07 * P) from the Cincinnati Fan Booklet, and an approximation of the loss (5 * P) due to a well-designed tool.  The impact from the tool can vary widely.  If the tool is just on open-ended dust sweep or open-mouthed dust hood, then the (5 * P) term could theoretically be set to zero, leaving just the pipe entry loss.  On the other hand, if you are hooking up, for example, to a table saw cabinet whose only opening is the clearance around the blade in the throat plate, you would starve the cyclone and have almost no flow.  It is important to ensure that there are sufficient openings in the tool to provide a flow path for the air.  Ideally, the area of the opening(s) should add up to at least the area of the hose connecting to the tool.</t>
  </si>
  <si>
    <t xml:space="preserve">From the above RAS ducting picture taken from the ducting hoods web pages, you see a 6" main going into a wye that splits off a 5" hose for the rear sweep up hood and a 3.5" hose for the blade guard.  The RAS hood turns up the wall with a 90 degree bend (2.5 R/D), goes 3' up the wall, and enters the wye.  The 3.5" flex hose is 5' long and enters the other leg of the wye after bending about 90 degrees.  We then go up from the wye with 5' of 6" straight pipe and connect to the main with a 6" 90 degree bend (2.5 R/D).  </t>
  </si>
  <si>
    <t>DO NOT CHANGE ANY OF THE CELLS BELOW THIS POINT</t>
  </si>
  <si>
    <t>!!!  WARNING  !!!</t>
  </si>
  <si>
    <r>
      <t>WARNING, this is only an approximation!</t>
    </r>
    <r>
      <rPr>
        <sz val="12"/>
        <color indexed="60"/>
        <rFont val="Arial"/>
        <family val="2"/>
      </rPr>
      <t xml:space="preserve">
This information provides small shop woodworkers with a better sense of what they need to collect the wood dust in their shops. These calculations are approximations based upon values from industrial fittings, pipes, and dust hoods which may be significantly different than what you may use. Moreover, these calculations also require you to add in other known large losses such as those that occur with the use of separators (trashcan or cyclone) and filters.  Version 10 is a complete rewrite of the previous version. </t>
    </r>
  </si>
  <si>
    <t>ELBOW</t>
  </si>
  <si>
    <t>1.5D</t>
  </si>
  <si>
    <t>2.0D</t>
  </si>
  <si>
    <t>2.5D</t>
  </si>
  <si>
    <t>WYES</t>
  </si>
  <si>
    <t>45 deg</t>
  </si>
  <si>
    <r>
      <t>Disclaimer!!
USE THIS AT YOUR OWN RISK!   HIRE A PROFESSIONAL ENGINEER to design, specify, test, and certify performance of any dust collection system if you have a commercial or an industrial application, allergies, other medical problems, people working for you, a large shop,  work with hazardous materials, or are subject to regulatory oversight.</t>
    </r>
    <r>
      <rPr>
        <sz val="12"/>
        <color indexed="60"/>
        <rFont val="Arial"/>
        <family val="2"/>
      </rPr>
      <t xml:space="preserve">  Brian Sudy, Bill Pentz, American Air Filter, and all other references and links cannot be held liable for this calculation's applicability to your specific situation.</t>
    </r>
  </si>
  <si>
    <r>
      <t>Introduction:</t>
    </r>
    <r>
      <rPr>
        <sz val="12"/>
        <color indexed="60"/>
        <rFont val="Arial"/>
        <family val="2"/>
      </rPr>
      <t xml:space="preserve"> We built and shared this calculator because most small shop woodworkers don't realize how much their duct size and layout impacts dust collection.  Most wrongly think of their dust collector as a huge shop vacuum, and that causes all kinds of problems.  Unlike a shop vacuum that can lift a column of water 35" or more, the blowers used in dust collection generate only a tiny fraction of that suction.  Air at dust collector blower pressures will barely compress at all, so almost any small pipe, bend, wye fitting, small port, restriction, or other obstruction will  act just like a partially opened water valve and kill our airflow.  This leaves us with two choices.  We can add horsepower and a larger blower until we overcome all that resistance, or design a system with minimal resistance to permit us to use the smallest, most cost efficient blower.</t>
    </r>
  </si>
  <si>
    <r>
      <t xml:space="preserve">Tool Modifications: </t>
    </r>
    <r>
      <rPr>
        <sz val="12"/>
        <color indexed="60"/>
        <rFont val="Arial"/>
        <family val="2"/>
      </rPr>
      <t>To meet government air quality mandates that went into effect in the late eighties, the major suppliers of dust collection equipment had to take a fresh look at dust collection.  Until then, dust collection meant keeping shop floors clear of the dust and chips that would otherwise be swept up with a broom.  These firms found that to also ensure collecting the fine airborne dust, they had to collect the dust right at the source, meaning at each tool as the dust was made.  If they let the fine airborne dust escape into the air, it took hours for a good exhaust fan or air cleaner to bring the dust levels down low enough to meet government standards.  They found that to keep the air streams from our tool blades, bits, cutters, belts, motor fans, etc. from spraying this fine dust all over, they had to redo the dust collecting design of almost every stationary tool.  Almost all required a new hood, larger ports, internal ducting, and sometimes new pannels.  Small shop owners must make similar changes to our tools if we want good fine dust collection.</t>
    </r>
  </si>
  <si>
    <t>THIS SHEET WILL TELL YOU WHAT THE LOSSES ARE; IT WILL NOT TELL YOU WHAT IS REASONABLE!!!  For example, if you input 10000 CFM, the 4" velocity goes to 114592 FPM, which is 1302 MPH.  The hood entry alone in a 4" branch goes to 637" water, which is about 23 PSI.</t>
  </si>
  <si>
    <r>
      <t xml:space="preserve">The total area of the duct/hose below the blast gate should roughly equal the area of the main duct.  Use of a smaller duct or hose can increase the overall resistance three-fold or more.  </t>
    </r>
    <r>
      <rPr>
        <b/>
        <sz val="12"/>
        <rFont val="Arial"/>
        <family val="2"/>
      </rPr>
      <t>You should not go from a 4" hood or port to a 6" duct!  You will have a much better system if you can install 6" ports on your tools.</t>
    </r>
  </si>
  <si>
    <t>THIS INFORMATION IS BEING MADE AVAILABLE SO THAT YOU CAN SEE HOW THE SPREADSHEET IS CALCULATING ITS INFORMATION AND TO GIVE YOU AN OPPORTUNITY TO CHECK OUR WORK.  ADDITIONAL INFORMATION IS ALSO ON SHEET2.              IF YOU FIND SOMETHING THAT YOU THINK IS WRONG, PLEASE DON'T HESITATE TO LET US KNOW.</t>
  </si>
  <si>
    <r>
      <t xml:space="preserve"> P</t>
    </r>
    <r>
      <rPr>
        <i/>
        <vertAlign val="subscript"/>
        <sz val="11"/>
        <rFont val="Arial"/>
        <family val="2"/>
      </rPr>
      <t xml:space="preserve"> </t>
    </r>
    <r>
      <rPr>
        <i/>
        <sz val="11"/>
        <rFont val="Arial"/>
        <family val="2"/>
      </rPr>
      <t>= (0.109136 * q</t>
    </r>
    <r>
      <rPr>
        <i/>
        <vertAlign val="superscript"/>
        <sz val="11"/>
        <rFont val="Arial"/>
        <family val="2"/>
      </rPr>
      <t>1.9</t>
    </r>
    <r>
      <rPr>
        <i/>
        <sz val="11"/>
        <rFont val="Arial"/>
        <family val="2"/>
      </rPr>
      <t>) / d</t>
    </r>
    <r>
      <rPr>
        <i/>
        <vertAlign val="superscript"/>
        <sz val="11"/>
        <rFont val="Arial"/>
        <family val="2"/>
      </rPr>
      <t xml:space="preserve">5.02  </t>
    </r>
    <r>
      <rPr>
        <i/>
        <sz val="11"/>
        <rFont val="Arial"/>
        <family val="2"/>
      </rPr>
      <t>http://www.engineeringtoolbox.com/duct-friction-pressure-loss-d_444.html</t>
    </r>
  </si>
  <si>
    <t xml:space="preserve"> = 0.07 * VP + 11.5 * P   (entry loss for a flanged cone + 5 * P)</t>
  </si>
  <si>
    <t>Equivalent pipe lengths from the Cincinnati Fan Booklet</t>
  </si>
  <si>
    <r>
      <t xml:space="preserve">Highest Resistance Tool: </t>
    </r>
    <r>
      <rPr>
        <sz val="12"/>
        <rFont val="Arial"/>
        <family val="2"/>
      </rPr>
      <t xml:space="preserve">Figuring out the pressure loss when the flow splits takes some trial and error.  We have a total flow rate of 1000 CFM, but it has to be split between the 3.5" hose and the 5" duct such that the sum of the two flows equals 1000 CFM, and the pressure loss is the same.  It might be easier to open two windows of the spreadsheet that are side by side.  In the first window, in the 3.5" column, enter 1 round edge hood, 1 flex 90 bend, and 5' of flex hose.  In the second window, in the 5" column, enter 1 round edge hood, 1 90 degree bend (2.5 R/D), and 3' of pipe.  Now try to find a flowrate for each window where the two of them add up to 1000 CFM, and that results in the same Total Loss.  Eventually you will find the following.  If you enter 208 CFM Required for the 3.5" duct, you get 1.56" of loss.  If 208 CFM is flowing thru the 3.5" hose, then 792 CFM is left for the 5" duct.  Enter 792 CFM Required for the 5" duct, and you get about the same loss, 1.56".  We are now done with those two windows.  Starting with a blank spreadsheet, enter 1000 CFM Required.  In the 6" column, enter 1 90 degree bend (2.5 R/D) and  5' of straight duct.  The Total Loss for the 6" segment is 0.76".  The sum of 1.56" and 0.76", which is 2.32", is the total loss between the RAS and the main duct.  Note that the 90 degree bend in the 3.5" hose is really killing the air flow, and causing more flow to go thru the 5" duct than we would like.  Also, the spreadsheet reports the Calculated Velocity as LOW (3113 FPM) for the 3.5" hose.  Stepping up to a 4" hose would probably help, but we're going to press on and keep the 3.5" hose.   </t>
    </r>
  </si>
  <si>
    <r>
      <t>Longest Main Duct Run:</t>
    </r>
    <r>
      <rPr>
        <sz val="12"/>
        <rFont val="Arial"/>
        <family val="2"/>
      </rPr>
      <t xml:space="preserve"> Our drawing shows the longest run starts at the cyclone with 1.5' of 6" flex hose, a pair of 45 degree 6" bends (2.0 R/D), and 18' of 6" duct.  We will  calculate up to, but not including, the 90 degree bend that drops down to the planer.  Starting with a blank spreadsheet, enter 1000 CFM Required.  In the 6" column, enter 1 90 degree bend (2.0 R/D) to account for two 45 degree bends, 18' of straight duct, and 1.5' of flex hose.  The main duct Total Loss is 2.03".</t>
    </r>
  </si>
  <si>
    <r>
      <t xml:space="preserve">Overhead: </t>
    </r>
    <r>
      <rPr>
        <sz val="12"/>
        <rFont val="Arial"/>
        <family val="2"/>
      </rPr>
      <t>Keeping the data we just did for the main duct run, we now add the Misc Losses and Overhead Losses.  In the Misc Losses section, enter 2.25" for a Pentz cyclone, 0.5" for under 225 square feet of filter, and 0.15" for the muffler that sits between the blower and filters.  In the Overhead Losses section, enter 2.0" as a typical value.  The spreadsheet should now be showing 6.93" for the Total Loss.  Manually adding the 2.32" from the Highest Resistance Tool section above gives a grand total of 9.25" pressure loss that our dust collector has to provide 1000 CFM at.</t>
    </r>
  </si>
  <si>
    <r>
      <t>Resistance Calculation:</t>
    </r>
    <r>
      <rPr>
        <sz val="12"/>
        <color indexed="60"/>
        <rFont val="Arial"/>
        <family val="2"/>
      </rPr>
      <t xml:space="preserve"> Small shop owners only use one ducting run open at a time, so we size our systems based upon what it takes to power our largest need.  Knowing that most will move their machines around over time, it is best to figure what it takes to power our largest machine overhead using our longest ducting run.  The longer the hose and the more bends and fittings we use in our ducting runs and machine collection, the higher the pressure drop and bigger the blower it will take.  Small shop owners should calculate the the resistance of the tool with the most hoods and ducting overhead, add to that the resistance of all the pipe and fittings in the longest ducting run, and then add the other overhead resistance including cyclone, muffler, and filters.  That total resistance gives the worst pressure drop in our system.  We use that total worst case resistance with a standard engineering fan table to size our blower motor and impeller diameter.  This simple resistance calculator helps you work through what you need for your own shop.</t>
    </r>
  </si>
  <si>
    <r>
      <t>Small Shop Solution:</t>
    </r>
    <r>
      <rPr>
        <sz val="12"/>
        <rFont val="Arial"/>
        <family val="2"/>
      </rPr>
      <t xml:space="preserve"> Fan tables like the one below let us use our 1000 CFM and 9.25" pressure requirement to pick the minimum sized blower we need.  The table below shows our 10" of resistance (rounded up from 9.25") requires 3.04 HP with a 14" diameter impeller to get at least 1000 CFM (the table shows 1014 CFM).  It might seem like a 3 HP DC would be a good choice for this shop.  Remembering that we calculated the pressure loss for the worst case duct run, look what happens as you hook up a tool that's closer to the DC, resulting in a pressure loss of only 6" for example.   In the table below, move to the left until you get in the 6" column.  The table shows the fan will now be moving 1335 CFM, and will require 3.84 HP.  This is why I say </t>
    </r>
    <r>
      <rPr>
        <b/>
        <sz val="12"/>
        <rFont val="Arial"/>
        <family val="2"/>
      </rPr>
      <t xml:space="preserve">almost all average small shops will burn up 2 HP, and even 3 HP, motors unless the airflow is restricted to below our needed 1000 CFM.  </t>
    </r>
    <r>
      <rPr>
        <sz val="12"/>
        <rFont val="Arial"/>
        <family val="2"/>
      </rPr>
      <t xml:space="preserve">Many small shop cyclone vendors offer 7" mains powered by 2 and 3 HP motors.  These motors can burn up quickly unless we kill our airflow to well under 1000 CFM.  Although a nice advertising ploy shows very high  CFM maximum numbers, you need to ask the vendor how much power the motor was drawing to get that high number, and compare the power needs to the motor they are selling you.  A far smarter solution that moves more air and provides better separation is to use a real 5 HP motor with a custom made 15" impeller, exactly as recommended for my cyclone design. </t>
    </r>
  </si>
  <si>
    <r>
      <t>Commercial Solution:</t>
    </r>
    <r>
      <rPr>
        <sz val="12"/>
        <rFont val="Arial"/>
        <family val="2"/>
      </rPr>
      <t xml:space="preserve"> If we were building a commercial system, we would add up the CFM requirements for every machine, and that total would tell us how many CFM our blower would need to produce.  We would likewise total and average the resistance of every ducting run to tell us how much resistance our blower would have to overcome.  For this simple two machine shop, the total comes out to 2000 CFM at 15" of resistance.  This requirement goes right off our small shop fan table scale and puts us into a commercial table.  This situation would probably require a 10 HP motor turning a 16.5" diameter impeller to provide concurrent fine dust collection on these two tools at once.</t>
    </r>
  </si>
  <si>
    <r>
      <t xml:space="preserve">Dust Collection Air Flow Requirements: </t>
    </r>
    <r>
      <rPr>
        <sz val="12"/>
        <color indexed="60"/>
        <rFont val="Arial"/>
        <family val="2"/>
      </rPr>
      <t>The major dust collection suppliers also did the testing to determine what was needed for good fine dust collection.  We need enough airspeed to move the dust and enough air volume to carry the dust.  Air engineers long ago learned that it takes an air speed of roughly 3800 feet per minute (FPM) to move the chips and heavier sawdust up vertical ducting. The fine airborne dust only required moving about 50 FPM, so no additional air speed was needed for good fine dust collection.  Most suspected the air volume would be small as well, so existing systems would work just fine.  The testing showed a totally different story.  If a tool was built from the ground up with good fine dust collection engineered in to protect and control the fine dust until it can be collected, a good shop vacuum that only moves 50 cubic feet per minute (CFM) provides good fine dust collection.  Unfortunately, in our real world, most small shop owners buy tools that have little to no fine dust collection built in.  Our larger tools are identical to the smaller commercial tools that air engineers found almost all need their hoods and ports modifyied and then supplied with 1000 CFM air volume to provide good fine dust collection.</t>
    </r>
  </si>
  <si>
    <t>At first it does not seem to make sense that it takes almost double the volume of air to collect fine dust (compared to collecting chips) when it only takes a fraction as much airspeed to move it.  We already know this is true if we think about using our shop vacuums.  They only pick up right next to the inlet.  This is because sucked air comes from all directions at once, causing airspeed to decrease quickly.   A monster 1000 CFM dust collector blower that moves 4000 FPM right next to the inlet moves less than the 50 FPM we need to overcome the room air currents and collect the fine dust just a few inches away!  To keep commercial shops from being closed due to poor indoor air quality, air engineers must ensure they collect the fine dust at the source.  To do so, they found we must nearly triple the total air volume (CFM) over what it takes to just collect sawdust, plus must redo most machine hoods, ports, and internal ducting.  Small shop owners must do the same if we want good fine dust collection. Although 800 CFM will provide minimum fine dust protection at most small shop tools, we really need to move a real 1000 CFM at these same stationary tools to meet EPA and medical recommended air quality protection.</t>
  </si>
  <si>
    <r>
      <t>Main Duct:</t>
    </r>
    <r>
      <rPr>
        <sz val="12"/>
        <color indexed="60"/>
        <rFont val="Arial"/>
        <family val="2"/>
      </rPr>
      <t xml:space="preserve"> If you want the most possible CFM, you need the biggest duct you can get that keeps the air velocity ample to keep the dust moving instead of clogging your ducting.  Most small shop vendors sell 4" dust collection duct and flex hose as their standard.  This works well to collect chips, but strangles the airflow needed for good fine dust collection.  A typical 2 HP small shop dust collector with a 12" diameter impeller moves a maximum of about 1200 CFM, but a 4" duct drops that airflow to only about 450 CFM.  It takes a 4 HP motor turning an 16" diameter impeller to force a 4" duct to carry 800 CFM and an 18" diameter impeller turned by a 5 hp motor to produce the 1000 CFM we need. The result is too noisy to use. Most prefer a less expensive solution.  In addition to maintaining that airflow, our blowers must keep the duct airspeed high enough so we don't get plugging or piles of wood dust.  </t>
    </r>
    <r>
      <rPr>
        <sz val="12"/>
        <color indexed="10"/>
        <rFont val="Arial"/>
        <family val="2"/>
      </rPr>
      <t>Dust piles in ducts pose a fire hazard and ruin both blowers and filters when they break loose and go slamming around.</t>
    </r>
    <r>
      <rPr>
        <sz val="12"/>
        <color indexed="60"/>
        <rFont val="Arial"/>
        <family val="2"/>
      </rPr>
      <t xml:space="preserve">  Air engineers found designing for a duct speed of 4000 FPM keeps the ducting clear.  Because FPM = CFM / duct area, a little math shows we need 6" diameter ducting to move 800 CFM at 4000 FPM. Most small shops need all 6" hoods, 6" main ducting lines, and 6" down drops.  </t>
    </r>
  </si>
  <si>
    <r>
      <t>Down Drops:</t>
    </r>
    <r>
      <rPr>
        <sz val="12"/>
        <color indexed="60"/>
        <rFont val="Arial"/>
        <family val="2"/>
      </rPr>
      <t xml:space="preserve"> Commercial dust collection systems size each down drop to carry just the air needed for good collection for each specific tool.  They also use many different sized ducting runs for the mains to keep the airspeed ample to avoid plugging and piles.  This ends up being so complex that most ducting engineers use commercial programs to compute all the ducting sizes, parts, etc.  Sadly, a number of firms now offer similar services to small shop users that use these same commercial programs.  The results are a nightmare because any time we use a down drop smaller than our main in a one ducting run open at a time small shop system, the small down drop strangles our needed airflow.  A 4" down drop connected to a 6" main looks pretty and appears to work well, but drops the main airspeed to under 2500 FPM, immediately building up dangerous dust piles that can grow huge.  These piles pose a serious fire hazard, and when the airflow gets restored, these piles break loose and slam into things, potentially ruining motor bearings, impellers, and your filters.</t>
    </r>
  </si>
  <si>
    <r>
      <t>Tool Ports:</t>
    </r>
    <r>
      <rPr>
        <sz val="12"/>
        <color indexed="60"/>
        <rFont val="Arial"/>
        <family val="2"/>
      </rPr>
      <t xml:space="preserve"> It takes one 6" port to support the 800 CFM and a 7" port to support the 1000 CFM required for good fine dust collection at most larger stationary small shop tools. I get around this by using an oversized blower which permits a 6" duct to carry more than our needed 1000 CFM. For machines with two pickups, small shop users should generally use a wye that splits their 6" ducting into two runs.  The smaller should use 3.5" diameter ducting and port.  The larger should use 5" ducting connected to a 5" port.  This combination maintains the same area as the 6" main to prevent airflow restrictions, plugging, dust piles, and poor dust collection.  Generally, we have to modify our small shop tools to add the 3.5", 5", and 6" ports.  Dust collectors do not have enough pressure to provide good fine dust collection for tools that cannot be modified to have ports equivalent to a 6" diameter duct.  Tools with 3" and smaller ports require use of a shop vacuum that generates at least 60" of pressure to force the air collection needed, plus often a movable hood and downdraft table.</t>
    </r>
  </si>
  <si>
    <r>
      <t>Radial Arm Saw Ducting Size:</t>
    </r>
    <r>
      <rPr>
        <sz val="12"/>
        <rFont val="Arial"/>
        <family val="2"/>
      </rPr>
      <t xml:space="preserve"> The CFM Requirements Table shows our RAS needs 790 CFM.  We will round it up to 800 CFM.  For our RAS, and many other tools such as  table saw, band saw, etc., we end up splitting the down drop into two collection pipes.  We picked the RAS for this example because it has one of the highest ducting overheads of any small shop tool.  For the RAS, we have a pick up hood that sits behind the blade and a smaller flex hose that attaches to the blade guard.  To keep from killing airflow by restricting the area of ducting, the area of these two ducts must be very close to the same area as our 6" diameter down drop duct, roughly 28 1/4 square inches.  The following table shows ducting areas, so you can pick a combination of offshoots that come close to the same area as the main.  We could split our 6" main into a 5" and a 3.5" because adding the areas of the 5" and 3.5" ducts almost exactly equals the area of the 6" duct.  Practically speaking, going with 5" and 4" is often easier because 3.5" flex hose is so difficult to find.  For this duct to work with our machines, we also often have to change out the original machine chip collection ports because they are too small. For our RAS, this requires making a 3.5" port on the blade guard and a 5" back connection on the rear pickup hood.</t>
    </r>
  </si>
  <si>
    <t>Version 11 -- 5/13/14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</si>
</sst>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mmmm\ d\,\ yyyy"/>
  </numFmts>
  <fonts count="56">
    <font>
      <sz val="11"/>
      <name val="Arial"/>
      <family val="0"/>
    </font>
    <font>
      <sz val="11"/>
      <color indexed="8"/>
      <name val="Calibri"/>
      <family val="2"/>
    </font>
    <font>
      <b/>
      <sz val="11"/>
      <name val="Arial"/>
      <family val="2"/>
    </font>
    <font>
      <b/>
      <sz val="14"/>
      <name val="Arial"/>
      <family val="2"/>
    </font>
    <font>
      <u val="single"/>
      <sz val="11"/>
      <color indexed="12"/>
      <name val="Arial"/>
      <family val="2"/>
    </font>
    <font>
      <sz val="11"/>
      <color indexed="41"/>
      <name val="Arial"/>
      <family val="2"/>
    </font>
    <font>
      <sz val="12"/>
      <name val="Arial"/>
      <family val="2"/>
    </font>
    <font>
      <sz val="14"/>
      <name val="Arial"/>
      <family val="2"/>
    </font>
    <font>
      <b/>
      <sz val="12"/>
      <name val="Arial"/>
      <family val="2"/>
    </font>
    <font>
      <sz val="8"/>
      <name val="Arial"/>
      <family val="2"/>
    </font>
    <font>
      <b/>
      <sz val="12"/>
      <color indexed="60"/>
      <name val="Arial"/>
      <family val="2"/>
    </font>
    <font>
      <sz val="12"/>
      <color indexed="60"/>
      <name val="Arial"/>
      <family val="2"/>
    </font>
    <font>
      <sz val="11"/>
      <color indexed="60"/>
      <name val="Arial"/>
      <family val="2"/>
    </font>
    <font>
      <b/>
      <sz val="20"/>
      <color indexed="60"/>
      <name val="Arial"/>
      <family val="2"/>
    </font>
    <font>
      <i/>
      <sz val="11"/>
      <name val="Arial"/>
      <family val="2"/>
    </font>
    <font>
      <i/>
      <vertAlign val="subscript"/>
      <sz val="11"/>
      <name val="Arial"/>
      <family val="2"/>
    </font>
    <font>
      <i/>
      <vertAlign val="superscript"/>
      <sz val="11"/>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0"/>
      <name val="Arial"/>
      <family val="2"/>
    </font>
    <font>
      <b/>
      <sz val="2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rgb="FFFF0000"/>
      <name val="Arial"/>
      <family val="2"/>
    </font>
    <font>
      <sz val="16"/>
      <color rgb="FFFF0000"/>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top/>
      <bottom/>
    </border>
    <border>
      <left/>
      <right style="medium"/>
      <top/>
      <bottom/>
    </border>
    <border>
      <left/>
      <right style="medium"/>
      <top style="thin"/>
      <bottom style="thin"/>
    </border>
    <border>
      <left/>
      <right/>
      <top/>
      <bottom style="thin"/>
    </border>
    <border>
      <left/>
      <right style="medium"/>
      <top/>
      <bottom style="thin"/>
    </border>
    <border>
      <left/>
      <right/>
      <top style="thin"/>
      <bottom style="thin"/>
    </border>
    <border>
      <left style="medium"/>
      <right style="thin"/>
      <top style="medium"/>
      <bottom style="thin"/>
    </border>
    <border>
      <left/>
      <right style="thin"/>
      <top style="medium"/>
      <bottom style="thin"/>
    </border>
    <border>
      <left/>
      <right style="medium"/>
      <top style="medium"/>
      <bottom style="thin"/>
    </border>
    <border>
      <left style="medium"/>
      <right style="thin"/>
      <top style="thin"/>
      <bottom style="thin"/>
    </border>
    <border>
      <left/>
      <right style="thin"/>
      <top style="thin"/>
      <bottom style="thin"/>
    </border>
    <border>
      <left style="medium"/>
      <right style="thin"/>
      <top/>
      <bottom/>
    </border>
    <border>
      <left/>
      <right style="thin"/>
      <top/>
      <bottom/>
    </border>
    <border>
      <left style="medium"/>
      <right style="thin"/>
      <top style="thin"/>
      <bottom style="medium"/>
    </border>
    <border>
      <left/>
      <right style="thin"/>
      <top style="thin"/>
      <bottom style="medium"/>
    </border>
    <border>
      <left style="thin"/>
      <right/>
      <top/>
      <bottom/>
    </border>
    <border>
      <left/>
      <right/>
      <top/>
      <bottom style="medium"/>
    </border>
    <border>
      <left style="thin"/>
      <right style="thin"/>
      <top/>
      <bottom/>
    </border>
    <border>
      <left style="thin"/>
      <right style="medium"/>
      <top/>
      <bottom/>
    </border>
    <border>
      <left style="thin"/>
      <right style="medium"/>
      <top style="thin"/>
      <bottom style="thin"/>
    </border>
    <border>
      <left/>
      <right style="medium"/>
      <top style="thin"/>
      <bottom/>
    </border>
    <border>
      <left style="thin"/>
      <right style="medium"/>
      <top style="thin"/>
      <bottom style="medium"/>
    </border>
    <border>
      <left/>
      <right/>
      <top style="medium"/>
      <bottom/>
    </border>
    <border>
      <left style="medium"/>
      <right/>
      <top style="medium"/>
      <bottom/>
    </border>
    <border>
      <left/>
      <right style="medium"/>
      <top style="medium"/>
      <bottom/>
    </border>
    <border>
      <left style="medium"/>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7">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7" fillId="33" borderId="10" xfId="0" applyFont="1" applyFill="1" applyBorder="1" applyAlignment="1" applyProtection="1">
      <alignment horizontal="center"/>
      <protection locked="0"/>
    </xf>
    <xf numFmtId="0" fontId="7" fillId="33" borderId="11" xfId="0" applyFont="1" applyFill="1" applyBorder="1" applyAlignment="1" applyProtection="1">
      <alignment horizontal="center"/>
      <protection locked="0"/>
    </xf>
    <xf numFmtId="0" fontId="0" fillId="34" borderId="0" xfId="0" applyFill="1" applyBorder="1" applyAlignment="1" applyProtection="1">
      <alignment/>
      <protection/>
    </xf>
    <xf numFmtId="0" fontId="2" fillId="34" borderId="12" xfId="0" applyFont="1" applyFill="1" applyBorder="1" applyAlignment="1" applyProtection="1">
      <alignment/>
      <protection/>
    </xf>
    <xf numFmtId="0" fontId="0" fillId="34" borderId="12" xfId="0" applyFill="1" applyBorder="1" applyAlignment="1" applyProtection="1">
      <alignment/>
      <protection/>
    </xf>
    <xf numFmtId="0" fontId="2" fillId="34" borderId="0" xfId="0" applyFont="1" applyFill="1" applyBorder="1" applyAlignment="1" applyProtection="1">
      <alignment/>
      <protection/>
    </xf>
    <xf numFmtId="0" fontId="7" fillId="34" borderId="0" xfId="0" applyFont="1" applyFill="1" applyBorder="1" applyAlignment="1" applyProtection="1">
      <alignment horizontal="right"/>
      <protection/>
    </xf>
    <xf numFmtId="2" fontId="0" fillId="34" borderId="0" xfId="0" applyNumberFormat="1" applyFill="1" applyBorder="1" applyAlignment="1" applyProtection="1">
      <alignment horizontal="center"/>
      <protection/>
    </xf>
    <xf numFmtId="2" fontId="0" fillId="34" borderId="13" xfId="0" applyNumberFormat="1" applyFill="1" applyBorder="1" applyAlignment="1" applyProtection="1">
      <alignment horizontal="center"/>
      <protection/>
    </xf>
    <xf numFmtId="0" fontId="12" fillId="34" borderId="0" xfId="0" applyFont="1" applyFill="1" applyBorder="1" applyAlignment="1" applyProtection="1">
      <alignment/>
      <protection/>
    </xf>
    <xf numFmtId="0" fontId="12" fillId="34" borderId="13" xfId="0" applyFont="1" applyFill="1" applyBorder="1" applyAlignment="1" applyProtection="1">
      <alignment horizontal="right"/>
      <protection/>
    </xf>
    <xf numFmtId="164" fontId="0" fillId="0" borderId="0" xfId="0" applyNumberFormat="1" applyAlignment="1" applyProtection="1">
      <alignment horizontal="center"/>
      <protection/>
    </xf>
    <xf numFmtId="164" fontId="0" fillId="0" borderId="0" xfId="0" applyNumberFormat="1" applyAlignment="1" applyProtection="1">
      <alignment/>
      <protection/>
    </xf>
    <xf numFmtId="0" fontId="3" fillId="35" borderId="11" xfId="0" applyFont="1" applyFill="1" applyBorder="1" applyAlignment="1" applyProtection="1">
      <alignment horizontal="center"/>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34" borderId="0" xfId="0" applyFill="1" applyBorder="1" applyAlignment="1" applyProtection="1">
      <alignment wrapText="1"/>
      <protection/>
    </xf>
    <xf numFmtId="0" fontId="0" fillId="34" borderId="13" xfId="0" applyFill="1" applyBorder="1" applyAlignment="1" applyProtection="1">
      <alignment wrapText="1"/>
      <protection/>
    </xf>
    <xf numFmtId="0" fontId="0" fillId="34" borderId="0" xfId="0" applyFill="1" applyBorder="1" applyAlignment="1" applyProtection="1">
      <alignment/>
      <protection/>
    </xf>
    <xf numFmtId="0" fontId="5" fillId="34" borderId="0" xfId="0" applyFont="1" applyFill="1" applyBorder="1" applyAlignment="1" applyProtection="1">
      <alignment horizontal="left"/>
      <protection/>
    </xf>
    <xf numFmtId="0" fontId="3" fillId="35" borderId="14" xfId="0" applyFont="1" applyFill="1" applyBorder="1" applyAlignment="1" applyProtection="1">
      <alignment horizontal="center"/>
      <protection/>
    </xf>
    <xf numFmtId="0" fontId="0" fillId="34" borderId="13" xfId="0" applyFill="1" applyBorder="1" applyAlignment="1" applyProtection="1">
      <alignment/>
      <protection/>
    </xf>
    <xf numFmtId="0" fontId="5" fillId="34" borderId="13" xfId="0" applyFont="1" applyFill="1" applyBorder="1" applyAlignment="1" applyProtection="1">
      <alignment horizontal="left"/>
      <protection/>
    </xf>
    <xf numFmtId="2" fontId="0" fillId="34" borderId="15" xfId="0" applyNumberFormat="1" applyFill="1" applyBorder="1" applyAlignment="1" applyProtection="1">
      <alignment horizontal="center"/>
      <protection/>
    </xf>
    <xf numFmtId="2" fontId="0" fillId="34" borderId="16" xfId="0" applyNumberFormat="1" applyFill="1" applyBorder="1" applyAlignment="1" applyProtection="1">
      <alignment horizontal="center"/>
      <protection/>
    </xf>
    <xf numFmtId="0" fontId="8" fillId="34" borderId="12" xfId="0" applyFont="1" applyFill="1" applyBorder="1" applyAlignment="1" applyProtection="1">
      <alignment/>
      <protection/>
    </xf>
    <xf numFmtId="0" fontId="3" fillId="35" borderId="17" xfId="0" applyFont="1" applyFill="1" applyBorder="1" applyAlignment="1" applyProtection="1">
      <alignment horizontal="center"/>
      <protection/>
    </xf>
    <xf numFmtId="2" fontId="7" fillId="36" borderId="11" xfId="0" applyNumberFormat="1" applyFont="1" applyFill="1" applyBorder="1" applyAlignment="1" applyProtection="1">
      <alignment horizontal="center"/>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6" fillId="35" borderId="0" xfId="0" applyFont="1" applyFill="1" applyBorder="1" applyAlignment="1" applyProtection="1">
      <alignment horizontal="left" vertical="top" wrapText="1"/>
      <protection/>
    </xf>
    <xf numFmtId="0" fontId="6" fillId="35" borderId="13" xfId="0" applyFont="1" applyFill="1" applyBorder="1" applyAlignment="1" applyProtection="1">
      <alignment horizontal="left" vertical="top" wrapText="1"/>
      <protection/>
    </xf>
    <xf numFmtId="0" fontId="6" fillId="35" borderId="12" xfId="0" applyFont="1" applyFill="1" applyBorder="1" applyAlignment="1" applyProtection="1">
      <alignment horizontal="left" vertical="top" wrapText="1"/>
      <protection/>
    </xf>
    <xf numFmtId="0" fontId="0" fillId="35" borderId="12" xfId="0" applyFill="1" applyBorder="1" applyAlignment="1" applyProtection="1">
      <alignment/>
      <protection/>
    </xf>
    <xf numFmtId="0" fontId="2" fillId="35" borderId="18" xfId="0" applyFont="1" applyFill="1" applyBorder="1" applyAlignment="1" applyProtection="1">
      <alignment horizontal="center" wrapText="1"/>
      <protection/>
    </xf>
    <xf numFmtId="0" fontId="2" fillId="35" borderId="19" xfId="0" applyFont="1" applyFill="1" applyBorder="1" applyAlignment="1" applyProtection="1">
      <alignment horizontal="center" wrapText="1"/>
      <protection/>
    </xf>
    <xf numFmtId="0" fontId="2" fillId="35" borderId="20" xfId="0" applyFont="1" applyFill="1" applyBorder="1" applyAlignment="1" applyProtection="1">
      <alignment horizontal="center" wrapText="1"/>
      <protection/>
    </xf>
    <xf numFmtId="0" fontId="0" fillId="35" borderId="0" xfId="0" applyFill="1" applyBorder="1" applyAlignment="1" applyProtection="1">
      <alignment vertical="top" wrapText="1"/>
      <protection/>
    </xf>
    <xf numFmtId="0" fontId="0" fillId="35" borderId="0" xfId="0" applyFill="1" applyBorder="1" applyAlignment="1" applyProtection="1">
      <alignment/>
      <protection/>
    </xf>
    <xf numFmtId="0" fontId="0" fillId="35" borderId="13" xfId="0" applyFill="1" applyBorder="1" applyAlignment="1" applyProtection="1">
      <alignment/>
      <protection/>
    </xf>
    <xf numFmtId="0" fontId="0" fillId="35" borderId="21" xfId="0" applyFill="1" applyBorder="1" applyAlignment="1" applyProtection="1">
      <alignment horizontal="center" vertical="top" wrapText="1"/>
      <protection/>
    </xf>
    <xf numFmtId="2" fontId="0" fillId="35" borderId="22" xfId="0" applyNumberFormat="1" applyFill="1" applyBorder="1" applyAlignment="1" applyProtection="1">
      <alignment horizontal="center" vertical="top" wrapText="1"/>
      <protection/>
    </xf>
    <xf numFmtId="0" fontId="0" fillId="35" borderId="23" xfId="0" applyFill="1" applyBorder="1" applyAlignment="1" applyProtection="1">
      <alignment horizontal="center" vertical="top" wrapText="1"/>
      <protection/>
    </xf>
    <xf numFmtId="2" fontId="0" fillId="35" borderId="24" xfId="0" applyNumberFormat="1" applyFill="1" applyBorder="1" applyAlignment="1" applyProtection="1">
      <alignment horizontal="center" vertical="top" wrapText="1"/>
      <protection/>
    </xf>
    <xf numFmtId="0" fontId="0" fillId="35" borderId="25" xfId="0" applyFill="1" applyBorder="1" applyAlignment="1" applyProtection="1">
      <alignment horizontal="center" vertical="top" wrapText="1"/>
      <protection/>
    </xf>
    <xf numFmtId="2" fontId="0" fillId="35" borderId="26" xfId="0" applyNumberFormat="1" applyFill="1" applyBorder="1" applyAlignment="1" applyProtection="1">
      <alignment horizontal="center" vertical="top" wrapText="1"/>
      <protection/>
    </xf>
    <xf numFmtId="0" fontId="6" fillId="34" borderId="0" xfId="0" applyFont="1" applyFill="1" applyBorder="1" applyAlignment="1" applyProtection="1">
      <alignment horizontal="right"/>
      <protection/>
    </xf>
    <xf numFmtId="2" fontId="6" fillId="36" borderId="11" xfId="0" applyNumberFormat="1" applyFont="1" applyFill="1" applyBorder="1" applyAlignment="1" applyProtection="1">
      <alignment horizontal="center"/>
      <protection/>
    </xf>
    <xf numFmtId="0" fontId="0" fillId="34" borderId="0" xfId="0" applyFill="1" applyBorder="1" applyAlignment="1" applyProtection="1">
      <alignment horizontal="left"/>
      <protection/>
    </xf>
    <xf numFmtId="0" fontId="0" fillId="34" borderId="0" xfId="0" applyFill="1" applyBorder="1" applyAlignment="1" applyProtection="1">
      <alignment horizontal="center"/>
      <protection/>
    </xf>
    <xf numFmtId="0" fontId="0" fillId="34" borderId="13" xfId="0" applyFill="1" applyBorder="1" applyAlignment="1" applyProtection="1">
      <alignment horizontal="center"/>
      <protection/>
    </xf>
    <xf numFmtId="0" fontId="0" fillId="34" borderId="0" xfId="0" applyFill="1" applyBorder="1" applyAlignment="1" applyProtection="1">
      <alignment horizontal="right"/>
      <protection/>
    </xf>
    <xf numFmtId="0" fontId="0" fillId="34" borderId="12" xfId="0" applyFill="1" applyBorder="1" applyAlignment="1" applyProtection="1">
      <alignment horizontal="right"/>
      <protection/>
    </xf>
    <xf numFmtId="0" fontId="0" fillId="34" borderId="0" xfId="0" applyFont="1" applyFill="1" applyBorder="1" applyAlignment="1" applyProtection="1">
      <alignment horizontal="left" wrapText="1"/>
      <protection/>
    </xf>
    <xf numFmtId="0" fontId="0" fillId="34" borderId="13" xfId="0" applyFont="1" applyFill="1" applyBorder="1" applyAlignment="1" applyProtection="1">
      <alignment horizontal="left" wrapText="1"/>
      <protection/>
    </xf>
    <xf numFmtId="0" fontId="0" fillId="34" borderId="27" xfId="0" applyFont="1" applyFill="1" applyBorder="1" applyAlignment="1" applyProtection="1">
      <alignment horizontal="left"/>
      <protection/>
    </xf>
    <xf numFmtId="0" fontId="14" fillId="0" borderId="0" xfId="0" applyFont="1" applyAlignment="1" applyProtection="1">
      <alignment/>
      <protection/>
    </xf>
    <xf numFmtId="0" fontId="14" fillId="0" borderId="0" xfId="0" applyFont="1" applyFill="1" applyAlignment="1" applyProtection="1">
      <alignment/>
      <protection/>
    </xf>
    <xf numFmtId="49" fontId="0" fillId="0" borderId="0" xfId="0" applyNumberFormat="1" applyFont="1" applyFill="1" applyAlignment="1" applyProtection="1">
      <alignment wrapText="1"/>
      <protection/>
    </xf>
    <xf numFmtId="0" fontId="0" fillId="35" borderId="0" xfId="0" applyFill="1" applyBorder="1" applyAlignment="1" applyProtection="1">
      <alignment horizontal="center" vertical="top" wrapText="1"/>
      <protection/>
    </xf>
    <xf numFmtId="2" fontId="0" fillId="35" borderId="0" xfId="0" applyNumberFormat="1" applyFill="1" applyBorder="1" applyAlignment="1" applyProtection="1">
      <alignment horizontal="center" vertical="top" wrapText="1"/>
      <protection/>
    </xf>
    <xf numFmtId="165" fontId="0" fillId="35" borderId="0" xfId="0" applyNumberFormat="1" applyFill="1" applyBorder="1" applyAlignment="1" applyProtection="1">
      <alignment horizontal="center" vertical="top" wrapText="1"/>
      <protection/>
    </xf>
    <xf numFmtId="0" fontId="0" fillId="0" borderId="28" xfId="0" applyBorder="1" applyAlignment="1" applyProtection="1">
      <alignment/>
      <protection/>
    </xf>
    <xf numFmtId="0" fontId="0" fillId="0" borderId="28" xfId="0" applyFill="1" applyBorder="1" applyAlignment="1" applyProtection="1">
      <alignment/>
      <protection/>
    </xf>
    <xf numFmtId="0" fontId="0" fillId="34" borderId="0" xfId="0" applyFont="1" applyFill="1" applyBorder="1" applyAlignment="1" applyProtection="1">
      <alignment horizontal="right"/>
      <protection/>
    </xf>
    <xf numFmtId="1" fontId="6" fillId="37" borderId="29" xfId="0" applyNumberFormat="1" applyFont="1" applyFill="1" applyBorder="1" applyAlignment="1" applyProtection="1">
      <alignment horizontal="center"/>
      <protection/>
    </xf>
    <xf numFmtId="1" fontId="6" fillId="37" borderId="30" xfId="0" applyNumberFormat="1" applyFont="1" applyFill="1" applyBorder="1" applyAlignment="1" applyProtection="1">
      <alignment horizontal="center"/>
      <protection/>
    </xf>
    <xf numFmtId="1" fontId="6" fillId="37" borderId="11" xfId="0" applyNumberFormat="1" applyFont="1" applyFill="1" applyBorder="1" applyAlignment="1" applyProtection="1">
      <alignment horizontal="center"/>
      <protection/>
    </xf>
    <xf numFmtId="0" fontId="0" fillId="34" borderId="12" xfId="0" applyFont="1" applyFill="1" applyBorder="1" applyAlignment="1" applyProtection="1">
      <alignment horizontal="right"/>
      <protection/>
    </xf>
    <xf numFmtId="1" fontId="6" fillId="37" borderId="31" xfId="0" applyNumberFormat="1" applyFont="1" applyFill="1" applyBorder="1" applyAlignment="1" applyProtection="1">
      <alignment horizontal="center"/>
      <protection/>
    </xf>
    <xf numFmtId="0" fontId="7" fillId="33" borderId="31" xfId="0" applyFont="1" applyFill="1" applyBorder="1" applyAlignment="1" applyProtection="1">
      <alignment horizontal="center"/>
      <protection locked="0"/>
    </xf>
    <xf numFmtId="2" fontId="3" fillId="36" borderId="11" xfId="0" applyNumberFormat="1" applyFont="1" applyFill="1" applyBorder="1" applyAlignment="1" applyProtection="1">
      <alignment horizontal="center"/>
      <protection/>
    </xf>
    <xf numFmtId="0" fontId="3" fillId="33" borderId="11" xfId="0" applyFont="1" applyFill="1" applyBorder="1" applyAlignment="1" applyProtection="1">
      <alignment horizontal="center"/>
      <protection locked="0"/>
    </xf>
    <xf numFmtId="0" fontId="0" fillId="0" borderId="0" xfId="0" applyFill="1" applyAlignment="1" applyProtection="1">
      <alignment horizontal="left"/>
      <protection/>
    </xf>
    <xf numFmtId="0" fontId="0" fillId="0" borderId="0" xfId="0" applyFill="1" applyAlignment="1" applyProtection="1">
      <alignment horizontal="right"/>
      <protection/>
    </xf>
    <xf numFmtId="0" fontId="0" fillId="0" borderId="0" xfId="0" applyAlignment="1" applyProtection="1">
      <alignment horizontal="right"/>
      <protection/>
    </xf>
    <xf numFmtId="0" fontId="0" fillId="0" borderId="0" xfId="0" applyFont="1" applyAlignment="1" applyProtection="1">
      <alignment horizontal="right"/>
      <protection/>
    </xf>
    <xf numFmtId="0" fontId="0" fillId="0" borderId="0" xfId="0" applyFont="1" applyFill="1" applyAlignment="1" applyProtection="1">
      <alignment horizontal="right"/>
      <protection/>
    </xf>
    <xf numFmtId="49" fontId="0" fillId="0" borderId="0" xfId="0" applyNumberFormat="1" applyFont="1" applyAlignment="1" applyProtection="1">
      <alignment horizontal="right"/>
      <protection/>
    </xf>
    <xf numFmtId="0" fontId="0" fillId="34" borderId="24" xfId="0" applyFont="1" applyFill="1" applyBorder="1" applyAlignment="1" applyProtection="1">
      <alignment horizontal="right"/>
      <protection/>
    </xf>
    <xf numFmtId="0" fontId="0" fillId="34" borderId="13" xfId="0" applyFill="1" applyBorder="1" applyAlignment="1" applyProtection="1">
      <alignment horizontal="left"/>
      <protection/>
    </xf>
    <xf numFmtId="0" fontId="0" fillId="34" borderId="0" xfId="0" applyFont="1" applyFill="1" applyBorder="1" applyAlignment="1" applyProtection="1">
      <alignment horizontal="left"/>
      <protection/>
    </xf>
    <xf numFmtId="0" fontId="5" fillId="34" borderId="17" xfId="0" applyFont="1" applyFill="1" applyBorder="1" applyAlignment="1" applyProtection="1">
      <alignment horizontal="left"/>
      <protection/>
    </xf>
    <xf numFmtId="0" fontId="5" fillId="34" borderId="32" xfId="0" applyFont="1" applyFill="1" applyBorder="1" applyAlignment="1" applyProtection="1">
      <alignment horizontal="left"/>
      <protection/>
    </xf>
    <xf numFmtId="0" fontId="0" fillId="37" borderId="0" xfId="0" applyFill="1" applyBorder="1" applyAlignment="1" applyProtection="1">
      <alignment vertical="top"/>
      <protection/>
    </xf>
    <xf numFmtId="0" fontId="0" fillId="37" borderId="13" xfId="0" applyFill="1" applyBorder="1" applyAlignment="1" applyProtection="1">
      <alignment vertical="top"/>
      <protection/>
    </xf>
    <xf numFmtId="0" fontId="0" fillId="0" borderId="13" xfId="0"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Border="1" applyAlignment="1" applyProtection="1">
      <alignment/>
      <protection/>
    </xf>
    <xf numFmtId="0" fontId="6" fillId="34" borderId="13" xfId="0" applyFont="1" applyFill="1" applyBorder="1" applyAlignment="1" applyProtection="1">
      <alignment/>
      <protection/>
    </xf>
    <xf numFmtId="0" fontId="6" fillId="0" borderId="0" xfId="0" applyFont="1" applyFill="1" applyAlignment="1" applyProtection="1">
      <alignment/>
      <protection/>
    </xf>
    <xf numFmtId="0" fontId="6" fillId="34" borderId="12" xfId="0" applyFont="1" applyFill="1" applyBorder="1" applyAlignment="1" applyProtection="1">
      <alignment/>
      <protection/>
    </xf>
    <xf numFmtId="0" fontId="6" fillId="34" borderId="12" xfId="0" applyFont="1" applyFill="1" applyBorder="1" applyAlignment="1" applyProtection="1">
      <alignment vertical="top"/>
      <protection/>
    </xf>
    <xf numFmtId="0" fontId="8" fillId="34" borderId="0" xfId="0" applyFont="1" applyFill="1" applyBorder="1" applyAlignment="1" applyProtection="1">
      <alignment/>
      <protection/>
    </xf>
    <xf numFmtId="0" fontId="6" fillId="34" borderId="0" xfId="0" applyFont="1" applyFill="1" applyBorder="1" applyAlignment="1" applyProtection="1">
      <alignment horizontal="left"/>
      <protection/>
    </xf>
    <xf numFmtId="0" fontId="6" fillId="34" borderId="13" xfId="0" applyFont="1" applyFill="1" applyBorder="1" applyAlignment="1" applyProtection="1">
      <alignment horizontal="left"/>
      <protection/>
    </xf>
    <xf numFmtId="1" fontId="0" fillId="35" borderId="14" xfId="0" applyNumberFormat="1" applyFill="1" applyBorder="1" applyAlignment="1" applyProtection="1">
      <alignment horizontal="center" vertical="top" wrapText="1"/>
      <protection/>
    </xf>
    <xf numFmtId="1" fontId="0" fillId="35" borderId="33" xfId="0" applyNumberFormat="1" applyFill="1" applyBorder="1" applyAlignment="1" applyProtection="1">
      <alignment horizontal="center" vertical="top" wrapText="1"/>
      <protection/>
    </xf>
    <xf numFmtId="0" fontId="6" fillId="34" borderId="0" xfId="0" applyFont="1" applyFill="1" applyBorder="1" applyAlignment="1" applyProtection="1">
      <alignment horizontal="left" vertical="top" wrapText="1"/>
      <protection/>
    </xf>
    <xf numFmtId="0" fontId="6" fillId="34" borderId="13" xfId="0" applyFont="1" applyFill="1" applyBorder="1" applyAlignment="1" applyProtection="1">
      <alignment horizontal="left" vertical="top" wrapText="1"/>
      <protection/>
    </xf>
    <xf numFmtId="0" fontId="4" fillId="37" borderId="12" xfId="52" applyFill="1" applyBorder="1" applyAlignment="1" applyProtection="1">
      <alignment vertical="top" wrapText="1"/>
      <protection/>
    </xf>
    <xf numFmtId="0" fontId="4" fillId="0" borderId="0" xfId="52" applyFill="1" applyAlignment="1" applyProtection="1">
      <alignment/>
      <protection/>
    </xf>
    <xf numFmtId="0" fontId="0" fillId="0" borderId="34" xfId="0" applyBorder="1" applyAlignment="1" applyProtection="1">
      <alignment/>
      <protection/>
    </xf>
    <xf numFmtId="0" fontId="0" fillId="0" borderId="34" xfId="0" applyFill="1" applyBorder="1" applyAlignment="1" applyProtection="1">
      <alignment/>
      <protection/>
    </xf>
    <xf numFmtId="0" fontId="0" fillId="37" borderId="12" xfId="0" applyFill="1" applyBorder="1" applyAlignment="1" applyProtection="1">
      <alignment/>
      <protection/>
    </xf>
    <xf numFmtId="0" fontId="0" fillId="37" borderId="0" xfId="0" applyFill="1" applyBorder="1" applyAlignment="1" applyProtection="1">
      <alignment/>
      <protection/>
    </xf>
    <xf numFmtId="0" fontId="0" fillId="37" borderId="13" xfId="0" applyFill="1" applyBorder="1" applyAlignment="1" applyProtection="1">
      <alignment/>
      <protection/>
    </xf>
    <xf numFmtId="0" fontId="14" fillId="0" borderId="0" xfId="0" applyFont="1" applyAlignment="1" applyProtection="1">
      <alignment horizontal="left"/>
      <protection/>
    </xf>
    <xf numFmtId="0" fontId="10" fillId="37" borderId="12" xfId="0" applyFont="1" applyFill="1" applyBorder="1" applyAlignment="1" applyProtection="1">
      <alignment horizontal="left" vertical="top" wrapText="1"/>
      <protection/>
    </xf>
    <xf numFmtId="0" fontId="10" fillId="37" borderId="0" xfId="0" applyFont="1" applyFill="1" applyBorder="1" applyAlignment="1" applyProtection="1">
      <alignment horizontal="left" vertical="top" wrapText="1"/>
      <protection/>
    </xf>
    <xf numFmtId="0" fontId="10" fillId="37" borderId="13" xfId="0" applyFont="1" applyFill="1" applyBorder="1" applyAlignment="1" applyProtection="1">
      <alignment horizontal="left" vertical="top" wrapText="1"/>
      <protection/>
    </xf>
    <xf numFmtId="0" fontId="10" fillId="35" borderId="12" xfId="0" applyNumberFormat="1" applyFont="1" applyFill="1" applyBorder="1" applyAlignment="1" applyProtection="1">
      <alignment horizontal="left" vertical="top" wrapText="1"/>
      <protection/>
    </xf>
    <xf numFmtId="0" fontId="11" fillId="35" borderId="0" xfId="0" applyNumberFormat="1" applyFont="1" applyFill="1" applyBorder="1" applyAlignment="1" applyProtection="1">
      <alignment horizontal="left" vertical="top" wrapText="1"/>
      <protection/>
    </xf>
    <xf numFmtId="0" fontId="11" fillId="35" borderId="13" xfId="0" applyNumberFormat="1" applyFont="1" applyFill="1" applyBorder="1" applyAlignment="1" applyProtection="1">
      <alignment horizontal="left" vertical="top" wrapText="1"/>
      <protection/>
    </xf>
    <xf numFmtId="0" fontId="10" fillId="35" borderId="0" xfId="0" applyNumberFormat="1" applyFont="1" applyFill="1" applyBorder="1" applyAlignment="1" applyProtection="1">
      <alignment horizontal="left" vertical="top" wrapText="1"/>
      <protection/>
    </xf>
    <xf numFmtId="0" fontId="10" fillId="35" borderId="13" xfId="0" applyNumberFormat="1" applyFont="1" applyFill="1" applyBorder="1" applyAlignment="1" applyProtection="1">
      <alignment horizontal="left" vertical="top" wrapText="1"/>
      <protection/>
    </xf>
    <xf numFmtId="0" fontId="10" fillId="35" borderId="12" xfId="0" applyFont="1" applyFill="1" applyBorder="1" applyAlignment="1" applyProtection="1">
      <alignment horizontal="left" vertical="top" wrapText="1"/>
      <protection/>
    </xf>
    <xf numFmtId="0" fontId="10" fillId="35" borderId="0" xfId="0" applyFont="1" applyFill="1" applyBorder="1" applyAlignment="1" applyProtection="1">
      <alignment horizontal="left" vertical="top" wrapText="1"/>
      <protection/>
    </xf>
    <xf numFmtId="0" fontId="10" fillId="35" borderId="13" xfId="0" applyFont="1" applyFill="1" applyBorder="1" applyAlignment="1" applyProtection="1">
      <alignment horizontal="left" vertical="top" wrapText="1"/>
      <protection/>
    </xf>
    <xf numFmtId="0" fontId="53" fillId="0" borderId="0" xfId="0" applyFont="1" applyAlignment="1" applyProtection="1">
      <alignment horizontal="center" vertical="center"/>
      <protection/>
    </xf>
    <xf numFmtId="0" fontId="6" fillId="34" borderId="0" xfId="0" applyFont="1" applyFill="1" applyBorder="1" applyAlignment="1" applyProtection="1">
      <alignment horizontal="left" vertical="top" wrapText="1"/>
      <protection/>
    </xf>
    <xf numFmtId="0" fontId="6" fillId="34" borderId="13" xfId="0" applyFont="1" applyFill="1" applyBorder="1" applyAlignment="1" applyProtection="1">
      <alignment horizontal="left" vertical="top" wrapText="1"/>
      <protection/>
    </xf>
    <xf numFmtId="0" fontId="11" fillId="37" borderId="12" xfId="0" applyNumberFormat="1" applyFont="1" applyFill="1" applyBorder="1" applyAlignment="1" applyProtection="1">
      <alignment horizontal="left" vertical="top" wrapText="1"/>
      <protection/>
    </xf>
    <xf numFmtId="0" fontId="11" fillId="37" borderId="0" xfId="0" applyNumberFormat="1" applyFont="1" applyFill="1" applyBorder="1" applyAlignment="1" applyProtection="1">
      <alignment horizontal="left" vertical="top" wrapText="1"/>
      <protection/>
    </xf>
    <xf numFmtId="0" fontId="11" fillId="37" borderId="13" xfId="0" applyNumberFormat="1" applyFont="1" applyFill="1" applyBorder="1" applyAlignment="1" applyProtection="1">
      <alignment horizontal="left" vertical="top" wrapText="1"/>
      <protection/>
    </xf>
    <xf numFmtId="0" fontId="10" fillId="37" borderId="12" xfId="0" applyNumberFormat="1" applyFont="1" applyFill="1" applyBorder="1" applyAlignment="1" applyProtection="1">
      <alignment horizontal="left" vertical="top" wrapText="1"/>
      <protection/>
    </xf>
    <xf numFmtId="0" fontId="10" fillId="37" borderId="0" xfId="0" applyNumberFormat="1" applyFont="1" applyFill="1" applyBorder="1" applyAlignment="1" applyProtection="1">
      <alignment horizontal="left" vertical="top" wrapText="1"/>
      <protection/>
    </xf>
    <xf numFmtId="0" fontId="10" fillId="37" borderId="13" xfId="0" applyNumberFormat="1" applyFont="1" applyFill="1" applyBorder="1" applyAlignment="1" applyProtection="1">
      <alignment horizontal="left" vertical="top" wrapText="1"/>
      <protection/>
    </xf>
    <xf numFmtId="0" fontId="54" fillId="0" borderId="0" xfId="0" applyFont="1" applyAlignment="1" applyProtection="1">
      <alignment horizontal="center" vertical="center"/>
      <protection/>
    </xf>
    <xf numFmtId="0" fontId="55" fillId="0" borderId="0" xfId="0" applyFont="1" applyAlignment="1" applyProtection="1">
      <alignment horizontal="center" vertical="center" wrapText="1"/>
      <protection/>
    </xf>
    <xf numFmtId="0" fontId="13" fillId="34" borderId="35" xfId="0" applyFont="1" applyFill="1" applyBorder="1" applyAlignment="1" applyProtection="1">
      <alignment horizontal="left" vertical="center"/>
      <protection/>
    </xf>
    <xf numFmtId="0" fontId="13" fillId="34" borderId="34" xfId="0" applyFont="1" applyFill="1" applyBorder="1" applyAlignment="1" applyProtection="1">
      <alignment horizontal="left" vertical="center"/>
      <protection/>
    </xf>
    <xf numFmtId="0" fontId="13" fillId="34" borderId="12" xfId="0" applyFont="1" applyFill="1" applyBorder="1" applyAlignment="1" applyProtection="1">
      <alignment horizontal="left" vertical="center"/>
      <protection/>
    </xf>
    <xf numFmtId="0" fontId="13" fillId="34" borderId="0" xfId="0" applyFont="1" applyFill="1" applyBorder="1" applyAlignment="1" applyProtection="1">
      <alignment horizontal="left" vertical="center"/>
      <protection/>
    </xf>
    <xf numFmtId="0" fontId="10" fillId="33" borderId="12"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10" fillId="33" borderId="13" xfId="0" applyFont="1" applyFill="1" applyBorder="1" applyAlignment="1" applyProtection="1">
      <alignment horizontal="left" vertical="top" wrapText="1"/>
      <protection/>
    </xf>
    <xf numFmtId="0" fontId="10" fillId="38" borderId="12" xfId="0" applyFont="1" applyFill="1" applyBorder="1" applyAlignment="1" applyProtection="1">
      <alignment horizontal="left" vertical="top" wrapText="1"/>
      <protection/>
    </xf>
    <xf numFmtId="0" fontId="10" fillId="38" borderId="0" xfId="0" applyFont="1" applyFill="1" applyBorder="1" applyAlignment="1" applyProtection="1">
      <alignment horizontal="left" vertical="top" wrapText="1"/>
      <protection/>
    </xf>
    <xf numFmtId="0" fontId="10" fillId="38" borderId="13" xfId="0" applyFont="1" applyFill="1" applyBorder="1" applyAlignment="1" applyProtection="1">
      <alignment horizontal="left" vertical="top" wrapText="1"/>
      <protection/>
    </xf>
    <xf numFmtId="166" fontId="12" fillId="34" borderId="34" xfId="0" applyNumberFormat="1" applyFont="1" applyFill="1" applyBorder="1" applyAlignment="1" applyProtection="1">
      <alignment horizontal="right"/>
      <protection/>
    </xf>
    <xf numFmtId="0" fontId="12" fillId="0" borderId="36" xfId="0" applyFont="1" applyBorder="1" applyAlignment="1" applyProtection="1">
      <alignment/>
      <protection/>
    </xf>
    <xf numFmtId="0" fontId="11" fillId="37" borderId="12" xfId="0" applyFont="1" applyFill="1" applyBorder="1" applyAlignment="1" applyProtection="1">
      <alignment horizontal="left" vertical="top" wrapText="1"/>
      <protection/>
    </xf>
    <xf numFmtId="0" fontId="4" fillId="37" borderId="0" xfId="52" applyFill="1" applyBorder="1" applyAlignment="1" applyProtection="1">
      <alignment horizontal="left" vertical="top" wrapText="1"/>
      <protection/>
    </xf>
    <xf numFmtId="0" fontId="6" fillId="34" borderId="0"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0" xfId="0" applyFont="1" applyFill="1" applyBorder="1" applyAlignment="1" applyProtection="1">
      <alignment horizontal="left" wrapText="1"/>
      <protection/>
    </xf>
    <xf numFmtId="0" fontId="6" fillId="34" borderId="13" xfId="0" applyFont="1" applyFill="1" applyBorder="1" applyAlignment="1" applyProtection="1">
      <alignment horizontal="left" wrapText="1"/>
      <protection/>
    </xf>
    <xf numFmtId="0" fontId="6" fillId="34" borderId="0" xfId="0" applyFont="1" applyFill="1" applyBorder="1" applyAlignment="1" applyProtection="1">
      <alignment horizontal="left" vertical="top"/>
      <protection/>
    </xf>
    <xf numFmtId="0" fontId="6" fillId="34" borderId="13" xfId="0" applyFont="1" applyFill="1" applyBorder="1" applyAlignment="1" applyProtection="1">
      <alignment horizontal="left" vertical="top"/>
      <protection/>
    </xf>
    <xf numFmtId="0" fontId="6" fillId="34" borderId="0" xfId="0" applyFont="1" applyFill="1" applyBorder="1" applyAlignment="1" applyProtection="1">
      <alignment horizontal="left"/>
      <protection/>
    </xf>
    <xf numFmtId="0" fontId="6" fillId="34" borderId="13" xfId="0" applyFont="1" applyFill="1" applyBorder="1" applyAlignment="1" applyProtection="1">
      <alignment horizontal="left"/>
      <protection/>
    </xf>
    <xf numFmtId="0" fontId="6" fillId="34" borderId="0" xfId="0" applyNumberFormat="1" applyFont="1" applyFill="1" applyBorder="1" applyAlignment="1" applyProtection="1">
      <alignment horizontal="left" vertical="top" wrapText="1"/>
      <protection/>
    </xf>
    <xf numFmtId="0" fontId="6" fillId="34" borderId="13" xfId="0" applyNumberFormat="1" applyFont="1" applyFill="1" applyBorder="1" applyAlignment="1" applyProtection="1">
      <alignment horizontal="left" vertical="top" wrapText="1"/>
      <protection/>
    </xf>
    <xf numFmtId="0" fontId="3" fillId="35" borderId="12" xfId="0" applyFont="1" applyFill="1" applyBorder="1" applyAlignment="1" applyProtection="1">
      <alignment horizontal="left" vertical="top" wrapText="1"/>
      <protection/>
    </xf>
    <xf numFmtId="0" fontId="3" fillId="35" borderId="0" xfId="0" applyFont="1" applyFill="1" applyBorder="1" applyAlignment="1" applyProtection="1">
      <alignment horizontal="left" vertical="top" wrapText="1"/>
      <protection/>
    </xf>
    <xf numFmtId="0" fontId="3" fillId="35" borderId="13" xfId="0" applyFont="1" applyFill="1" applyBorder="1" applyAlignment="1" applyProtection="1">
      <alignment horizontal="left" vertical="top" wrapText="1"/>
      <protection/>
    </xf>
    <xf numFmtId="0" fontId="6" fillId="35" borderId="12" xfId="0" applyFont="1" applyFill="1" applyBorder="1" applyAlignment="1" applyProtection="1">
      <alignment horizontal="left" vertical="top" wrapText="1"/>
      <protection/>
    </xf>
    <xf numFmtId="0" fontId="6" fillId="35" borderId="0" xfId="0" applyFont="1" applyFill="1" applyBorder="1" applyAlignment="1" applyProtection="1">
      <alignment horizontal="left" vertical="top" wrapText="1"/>
      <protection/>
    </xf>
    <xf numFmtId="0" fontId="6" fillId="35" borderId="13" xfId="0" applyFont="1" applyFill="1" applyBorder="1" applyAlignment="1" applyProtection="1">
      <alignment horizontal="left" vertical="top" wrapText="1"/>
      <protection/>
    </xf>
    <xf numFmtId="0" fontId="0" fillId="35" borderId="12"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13" xfId="0" applyFill="1" applyBorder="1" applyAlignment="1" applyProtection="1">
      <alignment horizontal="center"/>
      <protection/>
    </xf>
    <xf numFmtId="0" fontId="6" fillId="34" borderId="12" xfId="0"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6" fillId="34" borderId="13" xfId="0" applyFont="1" applyFill="1" applyBorder="1" applyAlignment="1" applyProtection="1">
      <alignment horizontal="center"/>
      <protection/>
    </xf>
    <xf numFmtId="0" fontId="0" fillId="34" borderId="12" xfId="0" applyFont="1"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0" xfId="0" applyFill="1" applyBorder="1" applyAlignment="1" applyProtection="1">
      <alignment horizontal="right"/>
      <protection/>
    </xf>
    <xf numFmtId="0" fontId="8" fillId="35" borderId="12" xfId="0" applyNumberFormat="1" applyFont="1" applyFill="1" applyBorder="1" applyAlignment="1" applyProtection="1">
      <alignment horizontal="left" vertical="top" wrapText="1"/>
      <protection/>
    </xf>
    <xf numFmtId="0" fontId="8" fillId="35" borderId="0" xfId="0" applyNumberFormat="1" applyFont="1" applyFill="1" applyBorder="1" applyAlignment="1" applyProtection="1">
      <alignment horizontal="left" vertical="top" wrapText="1"/>
      <protection/>
    </xf>
    <xf numFmtId="0" fontId="8" fillId="35" borderId="13" xfId="0" applyNumberFormat="1" applyFont="1" applyFill="1" applyBorder="1" applyAlignment="1" applyProtection="1">
      <alignment horizontal="left" vertical="top" wrapText="1"/>
      <protection/>
    </xf>
    <xf numFmtId="0" fontId="8" fillId="37" borderId="12" xfId="0" applyNumberFormat="1" applyFont="1" applyFill="1" applyBorder="1" applyAlignment="1" applyProtection="1">
      <alignment horizontal="left" vertical="top" wrapText="1"/>
      <protection/>
    </xf>
    <xf numFmtId="0" fontId="8" fillId="37" borderId="0" xfId="0" applyNumberFormat="1" applyFont="1" applyFill="1" applyBorder="1" applyAlignment="1" applyProtection="1">
      <alignment horizontal="left" vertical="top" wrapText="1"/>
      <protection/>
    </xf>
    <xf numFmtId="0" fontId="8" fillId="37" borderId="13" xfId="0" applyNumberFormat="1" applyFont="1" applyFill="1" applyBorder="1" applyAlignment="1" applyProtection="1">
      <alignment horizontal="left" vertical="top" wrapText="1"/>
      <protection/>
    </xf>
    <xf numFmtId="0" fontId="8" fillId="37" borderId="12" xfId="0" applyFont="1" applyFill="1" applyBorder="1" applyAlignment="1" applyProtection="1">
      <alignment horizontal="left" vertical="top" wrapText="1"/>
      <protection/>
    </xf>
    <xf numFmtId="0" fontId="8" fillId="37" borderId="0" xfId="0" applyFont="1" applyFill="1" applyBorder="1" applyAlignment="1" applyProtection="1">
      <alignment horizontal="left" vertical="top" wrapText="1"/>
      <protection/>
    </xf>
    <xf numFmtId="0" fontId="8" fillId="37" borderId="13" xfId="0" applyFont="1" applyFill="1" applyBorder="1" applyAlignment="1" applyProtection="1">
      <alignment horizontal="left" vertical="top" wrapText="1"/>
      <protection/>
    </xf>
    <xf numFmtId="0" fontId="4" fillId="37" borderId="12" xfId="52" applyFont="1" applyFill="1" applyBorder="1" applyAlignment="1" applyProtection="1">
      <alignment horizontal="left" vertical="top" wrapText="1"/>
      <protection/>
    </xf>
    <xf numFmtId="0" fontId="4" fillId="37" borderId="0" xfId="52" applyFont="1" applyFill="1" applyBorder="1" applyAlignment="1" applyProtection="1">
      <alignment horizontal="left" vertical="top" wrapText="1"/>
      <protection/>
    </xf>
    <xf numFmtId="0" fontId="4" fillId="37" borderId="13" xfId="52" applyFont="1" applyFill="1" applyBorder="1" applyAlignment="1" applyProtection="1">
      <alignment horizontal="left" vertical="top" wrapText="1"/>
      <protection/>
    </xf>
    <xf numFmtId="0" fontId="8" fillId="35" borderId="12" xfId="0" applyFont="1" applyFill="1" applyBorder="1" applyAlignment="1" applyProtection="1">
      <alignment horizontal="left" vertical="top" wrapText="1"/>
      <protection/>
    </xf>
    <xf numFmtId="0" fontId="8" fillId="35" borderId="0" xfId="0" applyFont="1" applyFill="1" applyBorder="1" applyAlignment="1" applyProtection="1">
      <alignment horizontal="left" vertical="top" wrapText="1"/>
      <protection/>
    </xf>
    <xf numFmtId="0" fontId="8" fillId="35" borderId="13" xfId="0" applyFont="1" applyFill="1" applyBorder="1" applyAlignment="1" applyProtection="1">
      <alignment horizontal="left" vertical="top" wrapText="1"/>
      <protection/>
    </xf>
    <xf numFmtId="0" fontId="8" fillId="35" borderId="37" xfId="0" applyFont="1" applyFill="1" applyBorder="1" applyAlignment="1" applyProtection="1">
      <alignment horizontal="left" vertical="top" wrapText="1"/>
      <protection/>
    </xf>
    <xf numFmtId="0" fontId="8" fillId="35" borderId="28" xfId="0" applyFont="1" applyFill="1" applyBorder="1" applyAlignment="1" applyProtection="1">
      <alignment horizontal="left" vertical="top" wrapText="1"/>
      <protection/>
    </xf>
    <xf numFmtId="0" fontId="8" fillId="35" borderId="38" xfId="0" applyFont="1" applyFill="1" applyBorder="1" applyAlignment="1" applyProtection="1">
      <alignment horizontal="left" vertical="top" wrapText="1"/>
      <protection/>
    </xf>
    <xf numFmtId="0" fontId="6" fillId="37" borderId="12" xfId="0" applyFont="1" applyFill="1" applyBorder="1" applyAlignment="1" applyProtection="1">
      <alignment horizontal="left" vertical="top" wrapText="1"/>
      <protection/>
    </xf>
    <xf numFmtId="0" fontId="6" fillId="37" borderId="0" xfId="0" applyFont="1" applyFill="1" applyBorder="1" applyAlignment="1" applyProtection="1">
      <alignment horizontal="left" vertical="top" wrapText="1"/>
      <protection/>
    </xf>
    <xf numFmtId="0" fontId="6" fillId="37" borderId="13" xfId="0" applyFont="1" applyFill="1" applyBorder="1" applyAlignment="1" applyProtection="1">
      <alignment horizontal="left" vertical="top" wrapText="1"/>
      <protection/>
    </xf>
    <xf numFmtId="0" fontId="0" fillId="34" borderId="27" xfId="0" applyFont="1" applyFill="1" applyBorder="1" applyAlignment="1" applyProtection="1">
      <alignment horizontal="left" wrapText="1"/>
      <protection/>
    </xf>
    <xf numFmtId="0" fontId="0" fillId="34" borderId="0" xfId="0" applyFont="1" applyFill="1" applyBorder="1" applyAlignment="1" applyProtection="1">
      <alignment horizontal="left" wrapText="1"/>
      <protection/>
    </xf>
    <xf numFmtId="0" fontId="0" fillId="34" borderId="13" xfId="0" applyFont="1" applyFill="1" applyBorder="1" applyAlignment="1" applyProtection="1">
      <alignment horizontal="left" wrapText="1"/>
      <protection/>
    </xf>
    <xf numFmtId="0" fontId="0" fillId="34" borderId="37" xfId="0" applyFill="1" applyBorder="1" applyAlignment="1" applyProtection="1">
      <alignment horizontal="center"/>
      <protection/>
    </xf>
    <xf numFmtId="0" fontId="0" fillId="34" borderId="28" xfId="0" applyFill="1" applyBorder="1" applyAlignment="1" applyProtection="1">
      <alignment horizontal="center"/>
      <protection/>
    </xf>
    <xf numFmtId="0" fontId="0" fillId="34" borderId="38" xfId="0" applyFill="1" applyBorder="1" applyAlignment="1" applyProtection="1">
      <alignment horizontal="center"/>
      <protection/>
    </xf>
    <xf numFmtId="0" fontId="0" fillId="34" borderId="0" xfId="0" applyFill="1" applyBorder="1" applyAlignment="1" applyProtection="1">
      <alignment horizontal="left" wrapText="1"/>
      <protection/>
    </xf>
    <xf numFmtId="0" fontId="0" fillId="34" borderId="13" xfId="0" applyFill="1" applyBorder="1" applyAlignment="1" applyProtection="1">
      <alignment horizontal="left" wrapText="1"/>
      <protection/>
    </xf>
    <xf numFmtId="0" fontId="0" fillId="34" borderId="27" xfId="0" applyFont="1" applyFill="1" applyBorder="1" applyAlignment="1" applyProtection="1">
      <alignment horizontal="left"/>
      <protection/>
    </xf>
    <xf numFmtId="0" fontId="0" fillId="34" borderId="0" xfId="0" applyFill="1" applyBorder="1" applyAlignment="1" applyProtection="1">
      <alignment horizontal="left"/>
      <protection/>
    </xf>
    <xf numFmtId="0" fontId="0" fillId="34" borderId="13" xfId="0" applyFill="1" applyBorder="1" applyAlignment="1" applyProtection="1">
      <alignment horizontal="left"/>
      <protection/>
    </xf>
    <xf numFmtId="0" fontId="0" fillId="34" borderId="12" xfId="0"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13" xfId="0"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54</xdr:row>
      <xdr:rowOff>1000125</xdr:rowOff>
    </xdr:from>
    <xdr:to>
      <xdr:col>5</xdr:col>
      <xdr:colOff>800100</xdr:colOff>
      <xdr:row>54</xdr:row>
      <xdr:rowOff>1047750</xdr:rowOff>
    </xdr:to>
    <xdr:sp>
      <xdr:nvSpPr>
        <xdr:cNvPr id="1" name="Rectangle 73"/>
        <xdr:cNvSpPr>
          <a:spLocks/>
        </xdr:cNvSpPr>
      </xdr:nvSpPr>
      <xdr:spPr>
        <a:xfrm>
          <a:off x="5114925" y="35661600"/>
          <a:ext cx="142875"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114300</xdr:rowOff>
    </xdr:from>
    <xdr:to>
      <xdr:col>4</xdr:col>
      <xdr:colOff>742950</xdr:colOff>
      <xdr:row>54</xdr:row>
      <xdr:rowOff>361950</xdr:rowOff>
    </xdr:to>
    <xdr:sp>
      <xdr:nvSpPr>
        <xdr:cNvPr id="2" name="Line 87"/>
        <xdr:cNvSpPr>
          <a:spLocks/>
        </xdr:cNvSpPr>
      </xdr:nvSpPr>
      <xdr:spPr>
        <a:xfrm flipH="1">
          <a:off x="4057650" y="34775775"/>
          <a:ext cx="190500" cy="24765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54</xdr:row>
      <xdr:rowOff>1066800</xdr:rowOff>
    </xdr:from>
    <xdr:to>
      <xdr:col>5</xdr:col>
      <xdr:colOff>457200</xdr:colOff>
      <xdr:row>54</xdr:row>
      <xdr:rowOff>1114425</xdr:rowOff>
    </xdr:to>
    <xdr:sp>
      <xdr:nvSpPr>
        <xdr:cNvPr id="3" name="Line 77"/>
        <xdr:cNvSpPr>
          <a:spLocks/>
        </xdr:cNvSpPr>
      </xdr:nvSpPr>
      <xdr:spPr>
        <a:xfrm flipH="1" flipV="1">
          <a:off x="4810125" y="35728275"/>
          <a:ext cx="104775" cy="4762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54</xdr:row>
      <xdr:rowOff>333375</xdr:rowOff>
    </xdr:from>
    <xdr:to>
      <xdr:col>4</xdr:col>
      <xdr:colOff>571500</xdr:colOff>
      <xdr:row>54</xdr:row>
      <xdr:rowOff>1047750</xdr:rowOff>
    </xdr:to>
    <xdr:sp>
      <xdr:nvSpPr>
        <xdr:cNvPr id="4" name="Line 71"/>
        <xdr:cNvSpPr>
          <a:spLocks/>
        </xdr:cNvSpPr>
      </xdr:nvSpPr>
      <xdr:spPr>
        <a:xfrm>
          <a:off x="4067175" y="34994850"/>
          <a:ext cx="9525" cy="71437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54</xdr:row>
      <xdr:rowOff>1343025</xdr:rowOff>
    </xdr:from>
    <xdr:to>
      <xdr:col>3</xdr:col>
      <xdr:colOff>285750</xdr:colOff>
      <xdr:row>54</xdr:row>
      <xdr:rowOff>1466850</xdr:rowOff>
    </xdr:to>
    <xdr:sp>
      <xdr:nvSpPr>
        <xdr:cNvPr id="5" name="Line 70"/>
        <xdr:cNvSpPr>
          <a:spLocks/>
        </xdr:cNvSpPr>
      </xdr:nvSpPr>
      <xdr:spPr>
        <a:xfrm>
          <a:off x="2781300" y="36004500"/>
          <a:ext cx="9525" cy="12382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54</xdr:row>
      <xdr:rowOff>1076325</xdr:rowOff>
    </xdr:from>
    <xdr:to>
      <xdr:col>3</xdr:col>
      <xdr:colOff>285750</xdr:colOff>
      <xdr:row>54</xdr:row>
      <xdr:rowOff>1304925</xdr:rowOff>
    </xdr:to>
    <xdr:sp>
      <xdr:nvSpPr>
        <xdr:cNvPr id="6" name="Line 48"/>
        <xdr:cNvSpPr>
          <a:spLocks/>
        </xdr:cNvSpPr>
      </xdr:nvSpPr>
      <xdr:spPr>
        <a:xfrm>
          <a:off x="2552700" y="35737800"/>
          <a:ext cx="238125" cy="23812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904875</xdr:colOff>
      <xdr:row>54</xdr:row>
      <xdr:rowOff>161925</xdr:rowOff>
    </xdr:from>
    <xdr:to>
      <xdr:col>5</xdr:col>
      <xdr:colOff>38100</xdr:colOff>
      <xdr:row>54</xdr:row>
      <xdr:rowOff>390525</xdr:rowOff>
    </xdr:to>
    <xdr:sp>
      <xdr:nvSpPr>
        <xdr:cNvPr id="7" name="AutoShape 61"/>
        <xdr:cNvSpPr>
          <a:spLocks/>
        </xdr:cNvSpPr>
      </xdr:nvSpPr>
      <xdr:spPr>
        <a:xfrm>
          <a:off x="4410075" y="34823400"/>
          <a:ext cx="85725" cy="228600"/>
        </a:xfrm>
        <a:prstGeom prst="bevel">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54</xdr:row>
      <xdr:rowOff>200025</xdr:rowOff>
    </xdr:from>
    <xdr:to>
      <xdr:col>5</xdr:col>
      <xdr:colOff>171450</xdr:colOff>
      <xdr:row>54</xdr:row>
      <xdr:rowOff>514350</xdr:rowOff>
    </xdr:to>
    <xdr:sp>
      <xdr:nvSpPr>
        <xdr:cNvPr id="8" name="AutoShape 52"/>
        <xdr:cNvSpPr>
          <a:spLocks/>
        </xdr:cNvSpPr>
      </xdr:nvSpPr>
      <xdr:spPr>
        <a:xfrm>
          <a:off x="4514850" y="34861500"/>
          <a:ext cx="123825" cy="32385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790575</xdr:colOff>
      <xdr:row>54</xdr:row>
      <xdr:rowOff>523875</xdr:rowOff>
    </xdr:from>
    <xdr:to>
      <xdr:col>5</xdr:col>
      <xdr:colOff>180975</xdr:colOff>
      <xdr:row>54</xdr:row>
      <xdr:rowOff>847725</xdr:rowOff>
    </xdr:to>
    <xdr:sp>
      <xdr:nvSpPr>
        <xdr:cNvPr id="9" name="AutoShape 50"/>
        <xdr:cNvSpPr>
          <a:spLocks/>
        </xdr:cNvSpPr>
      </xdr:nvSpPr>
      <xdr:spPr>
        <a:xfrm>
          <a:off x="4295775" y="35185350"/>
          <a:ext cx="342900" cy="32385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54</xdr:row>
      <xdr:rowOff>457200</xdr:rowOff>
    </xdr:from>
    <xdr:to>
      <xdr:col>5</xdr:col>
      <xdr:colOff>285750</xdr:colOff>
      <xdr:row>54</xdr:row>
      <xdr:rowOff>638175</xdr:rowOff>
    </xdr:to>
    <xdr:sp>
      <xdr:nvSpPr>
        <xdr:cNvPr id="10" name="AutoShape 51"/>
        <xdr:cNvSpPr>
          <a:spLocks/>
        </xdr:cNvSpPr>
      </xdr:nvSpPr>
      <xdr:spPr>
        <a:xfrm>
          <a:off x="4219575" y="35118675"/>
          <a:ext cx="523875" cy="180975"/>
        </a:xfrm>
        <a:prstGeom prst="parallelogram">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54</xdr:row>
      <xdr:rowOff>314325</xdr:rowOff>
    </xdr:from>
    <xdr:to>
      <xdr:col>4</xdr:col>
      <xdr:colOff>904875</xdr:colOff>
      <xdr:row>54</xdr:row>
      <xdr:rowOff>504825</xdr:rowOff>
    </xdr:to>
    <xdr:sp>
      <xdr:nvSpPr>
        <xdr:cNvPr id="11" name="Oval 56"/>
        <xdr:cNvSpPr>
          <a:spLocks/>
        </xdr:cNvSpPr>
      </xdr:nvSpPr>
      <xdr:spPr>
        <a:xfrm>
          <a:off x="4333875" y="34975800"/>
          <a:ext cx="762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904875</xdr:colOff>
      <xdr:row>54</xdr:row>
      <xdr:rowOff>342900</xdr:rowOff>
    </xdr:from>
    <xdr:to>
      <xdr:col>5</xdr:col>
      <xdr:colOff>152400</xdr:colOff>
      <xdr:row>54</xdr:row>
      <xdr:rowOff>466725</xdr:rowOff>
    </xdr:to>
    <xdr:sp>
      <xdr:nvSpPr>
        <xdr:cNvPr id="12" name="AutoShape 55"/>
        <xdr:cNvSpPr>
          <a:spLocks/>
        </xdr:cNvSpPr>
      </xdr:nvSpPr>
      <xdr:spPr>
        <a:xfrm>
          <a:off x="4410075" y="35004375"/>
          <a:ext cx="200025" cy="13335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54</xdr:row>
      <xdr:rowOff>1543050</xdr:rowOff>
    </xdr:from>
    <xdr:to>
      <xdr:col>3</xdr:col>
      <xdr:colOff>581025</xdr:colOff>
      <xdr:row>54</xdr:row>
      <xdr:rowOff>1657350</xdr:rowOff>
    </xdr:to>
    <xdr:sp>
      <xdr:nvSpPr>
        <xdr:cNvPr id="13" name="AutoShape 49"/>
        <xdr:cNvSpPr>
          <a:spLocks/>
        </xdr:cNvSpPr>
      </xdr:nvSpPr>
      <xdr:spPr>
        <a:xfrm>
          <a:off x="2819400" y="36204525"/>
          <a:ext cx="266700" cy="114300"/>
        </a:xfrm>
        <a:prstGeom prst="parallelogram">
          <a:avLst>
            <a:gd name="adj" fmla="val -107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54</xdr:row>
      <xdr:rowOff>1057275</xdr:rowOff>
    </xdr:from>
    <xdr:to>
      <xdr:col>5</xdr:col>
      <xdr:colOff>295275</xdr:colOff>
      <xdr:row>54</xdr:row>
      <xdr:rowOff>1066800</xdr:rowOff>
    </xdr:to>
    <xdr:sp>
      <xdr:nvSpPr>
        <xdr:cNvPr id="14" name="Line 18"/>
        <xdr:cNvSpPr>
          <a:spLocks/>
        </xdr:cNvSpPr>
      </xdr:nvSpPr>
      <xdr:spPr>
        <a:xfrm flipV="1">
          <a:off x="2571750" y="35718750"/>
          <a:ext cx="2181225" cy="952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54</xdr:row>
      <xdr:rowOff>1571625</xdr:rowOff>
    </xdr:from>
    <xdr:to>
      <xdr:col>5</xdr:col>
      <xdr:colOff>933450</xdr:colOff>
      <xdr:row>54</xdr:row>
      <xdr:rowOff>1743075</xdr:rowOff>
    </xdr:to>
    <xdr:sp>
      <xdr:nvSpPr>
        <xdr:cNvPr id="15" name="AutoShape 42"/>
        <xdr:cNvSpPr>
          <a:spLocks/>
        </xdr:cNvSpPr>
      </xdr:nvSpPr>
      <xdr:spPr>
        <a:xfrm>
          <a:off x="5238750" y="36233100"/>
          <a:ext cx="152400" cy="171450"/>
        </a:xfrm>
        <a:prstGeom prst="can">
          <a:avLst>
            <a:gd name="adj" fmla="val -38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54</xdr:row>
      <xdr:rowOff>123825</xdr:rowOff>
    </xdr:from>
    <xdr:to>
      <xdr:col>4</xdr:col>
      <xdr:colOff>933450</xdr:colOff>
      <xdr:row>54</xdr:row>
      <xdr:rowOff>142875</xdr:rowOff>
    </xdr:to>
    <xdr:sp>
      <xdr:nvSpPr>
        <xdr:cNvPr id="16" name="Line 39"/>
        <xdr:cNvSpPr>
          <a:spLocks/>
        </xdr:cNvSpPr>
      </xdr:nvSpPr>
      <xdr:spPr>
        <a:xfrm flipH="1">
          <a:off x="4200525" y="34785300"/>
          <a:ext cx="247650" cy="1905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54</xdr:row>
      <xdr:rowOff>1019175</xdr:rowOff>
    </xdr:from>
    <xdr:to>
      <xdr:col>5</xdr:col>
      <xdr:colOff>371475</xdr:colOff>
      <xdr:row>54</xdr:row>
      <xdr:rowOff>1095375</xdr:rowOff>
    </xdr:to>
    <xdr:sp>
      <xdr:nvSpPr>
        <xdr:cNvPr id="17" name="Rectangle 34"/>
        <xdr:cNvSpPr>
          <a:spLocks/>
        </xdr:cNvSpPr>
      </xdr:nvSpPr>
      <xdr:spPr>
        <a:xfrm>
          <a:off x="4752975" y="35680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54</xdr:row>
      <xdr:rowOff>1000125</xdr:rowOff>
    </xdr:from>
    <xdr:to>
      <xdr:col>5</xdr:col>
      <xdr:colOff>933450</xdr:colOff>
      <xdr:row>54</xdr:row>
      <xdr:rowOff>1609725</xdr:rowOff>
    </xdr:to>
    <xdr:sp>
      <xdr:nvSpPr>
        <xdr:cNvPr id="18" name="AutoShape 29"/>
        <xdr:cNvSpPr>
          <a:spLocks/>
        </xdr:cNvSpPr>
      </xdr:nvSpPr>
      <xdr:spPr>
        <a:xfrm>
          <a:off x="5238750" y="35661600"/>
          <a:ext cx="152400" cy="609600"/>
        </a:xfrm>
        <a:prstGeom prst="can">
          <a:avLst>
            <a:gd name="adj" fmla="val -38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54</xdr:row>
      <xdr:rowOff>990600</xdr:rowOff>
    </xdr:from>
    <xdr:to>
      <xdr:col>5</xdr:col>
      <xdr:colOff>676275</xdr:colOff>
      <xdr:row>54</xdr:row>
      <xdr:rowOff>1285875</xdr:rowOff>
    </xdr:to>
    <xdr:sp>
      <xdr:nvSpPr>
        <xdr:cNvPr id="19" name="AutoShape 30"/>
        <xdr:cNvSpPr>
          <a:spLocks/>
        </xdr:cNvSpPr>
      </xdr:nvSpPr>
      <xdr:spPr>
        <a:xfrm>
          <a:off x="4972050" y="35652075"/>
          <a:ext cx="171450" cy="304800"/>
        </a:xfrm>
        <a:prstGeom prst="can">
          <a:avLst>
            <a:gd name="adj" fmla="val -38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54</xdr:row>
      <xdr:rowOff>1028700</xdr:rowOff>
    </xdr:from>
    <xdr:to>
      <xdr:col>3</xdr:col>
      <xdr:colOff>95250</xdr:colOff>
      <xdr:row>54</xdr:row>
      <xdr:rowOff>1104900</xdr:rowOff>
    </xdr:to>
    <xdr:sp>
      <xdr:nvSpPr>
        <xdr:cNvPr id="20" name="Rectangle 38"/>
        <xdr:cNvSpPr>
          <a:spLocks/>
        </xdr:cNvSpPr>
      </xdr:nvSpPr>
      <xdr:spPr>
        <a:xfrm>
          <a:off x="2524125" y="356901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54</xdr:row>
      <xdr:rowOff>1276350</xdr:rowOff>
    </xdr:from>
    <xdr:to>
      <xdr:col>5</xdr:col>
      <xdr:colOff>676275</xdr:colOff>
      <xdr:row>54</xdr:row>
      <xdr:rowOff>1590675</xdr:rowOff>
    </xdr:to>
    <xdr:sp>
      <xdr:nvSpPr>
        <xdr:cNvPr id="21" name="AutoShape 36"/>
        <xdr:cNvSpPr>
          <a:spLocks/>
        </xdr:cNvSpPr>
      </xdr:nvSpPr>
      <xdr:spPr>
        <a:xfrm>
          <a:off x="4972050" y="35937825"/>
          <a:ext cx="171450" cy="314325"/>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54</xdr:row>
      <xdr:rowOff>0</xdr:rowOff>
    </xdr:from>
    <xdr:to>
      <xdr:col>4</xdr:col>
      <xdr:colOff>885825</xdr:colOff>
      <xdr:row>54</xdr:row>
      <xdr:rowOff>0</xdr:rowOff>
    </xdr:to>
    <xdr:sp>
      <xdr:nvSpPr>
        <xdr:cNvPr id="22" name="Rectangle 33"/>
        <xdr:cNvSpPr>
          <a:spLocks/>
        </xdr:cNvSpPr>
      </xdr:nvSpPr>
      <xdr:spPr>
        <a:xfrm>
          <a:off x="4457700" y="34661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54</xdr:row>
      <xdr:rowOff>1657350</xdr:rowOff>
    </xdr:from>
    <xdr:to>
      <xdr:col>3</xdr:col>
      <xdr:colOff>476250</xdr:colOff>
      <xdr:row>54</xdr:row>
      <xdr:rowOff>1981200</xdr:rowOff>
    </xdr:to>
    <xdr:sp>
      <xdr:nvSpPr>
        <xdr:cNvPr id="23" name="AutoShape 43"/>
        <xdr:cNvSpPr>
          <a:spLocks/>
        </xdr:cNvSpPr>
      </xdr:nvSpPr>
      <xdr:spPr>
        <a:xfrm>
          <a:off x="2619375" y="36318825"/>
          <a:ext cx="361950" cy="32385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54</xdr:row>
      <xdr:rowOff>1495425</xdr:rowOff>
    </xdr:from>
    <xdr:to>
      <xdr:col>3</xdr:col>
      <xdr:colOff>447675</xdr:colOff>
      <xdr:row>54</xdr:row>
      <xdr:rowOff>1724025</xdr:rowOff>
    </xdr:to>
    <xdr:sp>
      <xdr:nvSpPr>
        <xdr:cNvPr id="24" name="AutoShape 44"/>
        <xdr:cNvSpPr>
          <a:spLocks/>
        </xdr:cNvSpPr>
      </xdr:nvSpPr>
      <xdr:spPr>
        <a:xfrm>
          <a:off x="2638425" y="36156900"/>
          <a:ext cx="304800" cy="22860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54</xdr:row>
      <xdr:rowOff>1571625</xdr:rowOff>
    </xdr:from>
    <xdr:to>
      <xdr:col>3</xdr:col>
      <xdr:colOff>371475</xdr:colOff>
      <xdr:row>54</xdr:row>
      <xdr:rowOff>1704975</xdr:rowOff>
    </xdr:to>
    <xdr:sp>
      <xdr:nvSpPr>
        <xdr:cNvPr id="25" name="AutoShape 45"/>
        <xdr:cNvSpPr>
          <a:spLocks/>
        </xdr:cNvSpPr>
      </xdr:nvSpPr>
      <xdr:spPr>
        <a:xfrm>
          <a:off x="2647950" y="36233100"/>
          <a:ext cx="219075" cy="133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54</xdr:row>
      <xdr:rowOff>1743075</xdr:rowOff>
    </xdr:from>
    <xdr:to>
      <xdr:col>3</xdr:col>
      <xdr:colOff>390525</xdr:colOff>
      <xdr:row>54</xdr:row>
      <xdr:rowOff>1857375</xdr:rowOff>
    </xdr:to>
    <xdr:sp>
      <xdr:nvSpPr>
        <xdr:cNvPr id="26" name="AutoShape 46"/>
        <xdr:cNvSpPr>
          <a:spLocks/>
        </xdr:cNvSpPr>
      </xdr:nvSpPr>
      <xdr:spPr>
        <a:xfrm>
          <a:off x="2514600" y="36404550"/>
          <a:ext cx="381000" cy="114300"/>
        </a:xfrm>
        <a:prstGeom prst="parallelogram">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54</xdr:row>
      <xdr:rowOff>1447800</xdr:rowOff>
    </xdr:from>
    <xdr:to>
      <xdr:col>3</xdr:col>
      <xdr:colOff>361950</xdr:colOff>
      <xdr:row>54</xdr:row>
      <xdr:rowOff>1524000</xdr:rowOff>
    </xdr:to>
    <xdr:sp>
      <xdr:nvSpPr>
        <xdr:cNvPr id="27" name="AutoShape 47"/>
        <xdr:cNvSpPr>
          <a:spLocks/>
        </xdr:cNvSpPr>
      </xdr:nvSpPr>
      <xdr:spPr>
        <a:xfrm flipV="1">
          <a:off x="2714625" y="36109275"/>
          <a:ext cx="152400" cy="76200"/>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838200</xdr:colOff>
      <xdr:row>54</xdr:row>
      <xdr:rowOff>180975</xdr:rowOff>
    </xdr:from>
    <xdr:to>
      <xdr:col>5</xdr:col>
      <xdr:colOff>190500</xdr:colOff>
      <xdr:row>54</xdr:row>
      <xdr:rowOff>419100</xdr:rowOff>
    </xdr:to>
    <xdr:sp>
      <xdr:nvSpPr>
        <xdr:cNvPr id="28" name="AutoShape 53"/>
        <xdr:cNvSpPr>
          <a:spLocks/>
        </xdr:cNvSpPr>
      </xdr:nvSpPr>
      <xdr:spPr>
        <a:xfrm>
          <a:off x="4343400" y="34842450"/>
          <a:ext cx="304800" cy="247650"/>
        </a:xfrm>
        <a:prstGeom prst="cube">
          <a:avLst>
            <a:gd name="adj" fmla="val 343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54</xdr:row>
      <xdr:rowOff>85725</xdr:rowOff>
    </xdr:from>
    <xdr:to>
      <xdr:col>5</xdr:col>
      <xdr:colOff>19050</xdr:colOff>
      <xdr:row>54</xdr:row>
      <xdr:rowOff>171450</xdr:rowOff>
    </xdr:to>
    <xdr:sp>
      <xdr:nvSpPr>
        <xdr:cNvPr id="29" name="Rectangle 65"/>
        <xdr:cNvSpPr>
          <a:spLocks/>
        </xdr:cNvSpPr>
      </xdr:nvSpPr>
      <xdr:spPr>
        <a:xfrm>
          <a:off x="4400550" y="34747200"/>
          <a:ext cx="7620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238125</xdr:colOff>
      <xdr:row>57</xdr:row>
      <xdr:rowOff>57150</xdr:rowOff>
    </xdr:from>
    <xdr:to>
      <xdr:col>10</xdr:col>
      <xdr:colOff>952500</xdr:colOff>
      <xdr:row>70</xdr:row>
      <xdr:rowOff>123825</xdr:rowOff>
    </xdr:to>
    <xdr:pic>
      <xdr:nvPicPr>
        <xdr:cNvPr id="30" name="Picture 66" descr="RAS"/>
        <xdr:cNvPicPr preferRelativeResize="1">
          <a:picLocks noChangeAspect="1"/>
        </xdr:cNvPicPr>
      </xdr:nvPicPr>
      <xdr:blipFill>
        <a:blip r:embed="rId1"/>
        <a:stretch>
          <a:fillRect/>
        </a:stretch>
      </xdr:blipFill>
      <xdr:spPr>
        <a:xfrm>
          <a:off x="4695825" y="40481250"/>
          <a:ext cx="5410200" cy="4286250"/>
        </a:xfrm>
        <a:prstGeom prst="rect">
          <a:avLst/>
        </a:prstGeom>
        <a:noFill/>
        <a:ln w="9525" cmpd="sng">
          <a:noFill/>
        </a:ln>
      </xdr:spPr>
    </xdr:pic>
    <xdr:clientData/>
  </xdr:twoCellAnchor>
  <xdr:twoCellAnchor>
    <xdr:from>
      <xdr:col>3</xdr:col>
      <xdr:colOff>247650</xdr:colOff>
      <xdr:row>54</xdr:row>
      <xdr:rowOff>1304925</xdr:rowOff>
    </xdr:from>
    <xdr:to>
      <xdr:col>3</xdr:col>
      <xdr:colOff>323850</xdr:colOff>
      <xdr:row>54</xdr:row>
      <xdr:rowOff>1381125</xdr:rowOff>
    </xdr:to>
    <xdr:sp>
      <xdr:nvSpPr>
        <xdr:cNvPr id="31" name="Rectangle 69"/>
        <xdr:cNvSpPr>
          <a:spLocks/>
        </xdr:cNvSpPr>
      </xdr:nvSpPr>
      <xdr:spPr>
        <a:xfrm>
          <a:off x="2752725" y="359664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54</xdr:row>
      <xdr:rowOff>1085850</xdr:rowOff>
    </xdr:from>
    <xdr:to>
      <xdr:col>5</xdr:col>
      <xdr:colOff>523875</xdr:colOff>
      <xdr:row>54</xdr:row>
      <xdr:rowOff>1143000</xdr:rowOff>
    </xdr:to>
    <xdr:sp>
      <xdr:nvSpPr>
        <xdr:cNvPr id="32" name="Rectangle 74"/>
        <xdr:cNvSpPr>
          <a:spLocks/>
        </xdr:cNvSpPr>
      </xdr:nvSpPr>
      <xdr:spPr>
        <a:xfrm>
          <a:off x="4905375" y="35747325"/>
          <a:ext cx="762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54</xdr:row>
      <xdr:rowOff>1590675</xdr:rowOff>
    </xdr:from>
    <xdr:to>
      <xdr:col>5</xdr:col>
      <xdr:colOff>676275</xdr:colOff>
      <xdr:row>54</xdr:row>
      <xdr:rowOff>1771650</xdr:rowOff>
    </xdr:to>
    <xdr:sp>
      <xdr:nvSpPr>
        <xdr:cNvPr id="33" name="AutoShape 78"/>
        <xdr:cNvSpPr>
          <a:spLocks/>
        </xdr:cNvSpPr>
      </xdr:nvSpPr>
      <xdr:spPr>
        <a:xfrm>
          <a:off x="4972050" y="36252150"/>
          <a:ext cx="161925" cy="180975"/>
        </a:xfrm>
        <a:prstGeom prst="can">
          <a:avLst>
            <a:gd name="adj" fmla="val -38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54</xdr:row>
      <xdr:rowOff>1000125</xdr:rowOff>
    </xdr:from>
    <xdr:to>
      <xdr:col>4</xdr:col>
      <xdr:colOff>619125</xdr:colOff>
      <xdr:row>54</xdr:row>
      <xdr:rowOff>1076325</xdr:rowOff>
    </xdr:to>
    <xdr:sp>
      <xdr:nvSpPr>
        <xdr:cNvPr id="34" name="Rectangle 80"/>
        <xdr:cNvSpPr>
          <a:spLocks/>
        </xdr:cNvSpPr>
      </xdr:nvSpPr>
      <xdr:spPr>
        <a:xfrm>
          <a:off x="4048125" y="356616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666750</xdr:colOff>
      <xdr:row>54</xdr:row>
      <xdr:rowOff>85725</xdr:rowOff>
    </xdr:from>
    <xdr:to>
      <xdr:col>4</xdr:col>
      <xdr:colOff>742950</xdr:colOff>
      <xdr:row>54</xdr:row>
      <xdr:rowOff>161925</xdr:rowOff>
    </xdr:to>
    <xdr:sp>
      <xdr:nvSpPr>
        <xdr:cNvPr id="35" name="Rectangle 88"/>
        <xdr:cNvSpPr>
          <a:spLocks/>
        </xdr:cNvSpPr>
      </xdr:nvSpPr>
      <xdr:spPr>
        <a:xfrm>
          <a:off x="4171950" y="347472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304800</xdr:rowOff>
    </xdr:from>
    <xdr:to>
      <xdr:col>4</xdr:col>
      <xdr:colOff>600075</xdr:colOff>
      <xdr:row>54</xdr:row>
      <xdr:rowOff>381000</xdr:rowOff>
    </xdr:to>
    <xdr:sp>
      <xdr:nvSpPr>
        <xdr:cNvPr id="36" name="Rectangle 89"/>
        <xdr:cNvSpPr>
          <a:spLocks/>
        </xdr:cNvSpPr>
      </xdr:nvSpPr>
      <xdr:spPr>
        <a:xfrm>
          <a:off x="4029075" y="34966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476250</xdr:colOff>
      <xdr:row>77</xdr:row>
      <xdr:rowOff>28575</xdr:rowOff>
    </xdr:from>
    <xdr:to>
      <xdr:col>10</xdr:col>
      <xdr:colOff>457200</xdr:colOff>
      <xdr:row>92</xdr:row>
      <xdr:rowOff>257175</xdr:rowOff>
    </xdr:to>
    <xdr:pic>
      <xdr:nvPicPr>
        <xdr:cNvPr id="37" name="Picture 95" descr="BlowerCycloneFanTable"/>
        <xdr:cNvPicPr preferRelativeResize="1">
          <a:picLocks noChangeAspect="1"/>
        </xdr:cNvPicPr>
      </xdr:nvPicPr>
      <xdr:blipFill>
        <a:blip r:embed="rId2"/>
        <a:stretch>
          <a:fillRect/>
        </a:stretch>
      </xdr:blipFill>
      <xdr:spPr>
        <a:xfrm>
          <a:off x="1028700" y="53578125"/>
          <a:ext cx="8582025" cy="5943600"/>
        </a:xfrm>
        <a:prstGeom prst="rect">
          <a:avLst/>
        </a:prstGeom>
        <a:noFill/>
        <a:ln w="9525" cmpd="sng">
          <a:noFill/>
        </a:ln>
      </xdr:spPr>
    </xdr:pic>
    <xdr:clientData/>
  </xdr:twoCellAnchor>
  <xdr:twoCellAnchor editAs="oneCell">
    <xdr:from>
      <xdr:col>8</xdr:col>
      <xdr:colOff>342900</xdr:colOff>
      <xdr:row>40</xdr:row>
      <xdr:rowOff>38100</xdr:rowOff>
    </xdr:from>
    <xdr:to>
      <xdr:col>9</xdr:col>
      <xdr:colOff>476250</xdr:colOff>
      <xdr:row>45</xdr:row>
      <xdr:rowOff>9525</xdr:rowOff>
    </xdr:to>
    <xdr:pic>
      <xdr:nvPicPr>
        <xdr:cNvPr id="38" name="Picture 1"/>
        <xdr:cNvPicPr preferRelativeResize="1">
          <a:picLocks noChangeAspect="1"/>
        </xdr:cNvPicPr>
      </xdr:nvPicPr>
      <xdr:blipFill>
        <a:blip r:embed="rId3"/>
        <a:stretch>
          <a:fillRect/>
        </a:stretch>
      </xdr:blipFill>
      <xdr:spPr>
        <a:xfrm>
          <a:off x="7553325" y="30241875"/>
          <a:ext cx="1104900" cy="1114425"/>
        </a:xfrm>
        <a:prstGeom prst="rect">
          <a:avLst/>
        </a:prstGeom>
        <a:noFill/>
        <a:ln w="9525" cmpd="sng">
          <a:noFill/>
        </a:ln>
      </xdr:spPr>
    </xdr:pic>
    <xdr:clientData/>
  </xdr:twoCellAnchor>
  <xdr:twoCellAnchor editAs="oneCell">
    <xdr:from>
      <xdr:col>6</xdr:col>
      <xdr:colOff>438150</xdr:colOff>
      <xdr:row>33</xdr:row>
      <xdr:rowOff>133350</xdr:rowOff>
    </xdr:from>
    <xdr:to>
      <xdr:col>8</xdr:col>
      <xdr:colOff>276225</xdr:colOff>
      <xdr:row>37</xdr:row>
      <xdr:rowOff>95250</xdr:rowOff>
    </xdr:to>
    <xdr:pic>
      <xdr:nvPicPr>
        <xdr:cNvPr id="39" name="Picture 2"/>
        <xdr:cNvPicPr preferRelativeResize="1">
          <a:picLocks noChangeAspect="1"/>
        </xdr:cNvPicPr>
      </xdr:nvPicPr>
      <xdr:blipFill>
        <a:blip r:embed="rId4"/>
        <a:stretch>
          <a:fillRect/>
        </a:stretch>
      </xdr:blipFill>
      <xdr:spPr>
        <a:xfrm>
          <a:off x="5867400" y="28956000"/>
          <a:ext cx="1619250" cy="762000"/>
        </a:xfrm>
        <a:prstGeom prst="rect">
          <a:avLst/>
        </a:prstGeom>
        <a:noFill/>
        <a:ln w="9525" cmpd="sng">
          <a:noFill/>
        </a:ln>
      </xdr:spPr>
    </xdr:pic>
    <xdr:clientData/>
  </xdr:twoCellAnchor>
  <xdr:twoCellAnchor editAs="oneCell">
    <xdr:from>
      <xdr:col>2</xdr:col>
      <xdr:colOff>666750</xdr:colOff>
      <xdr:row>33</xdr:row>
      <xdr:rowOff>123825</xdr:rowOff>
    </xdr:from>
    <xdr:to>
      <xdr:col>4</xdr:col>
      <xdr:colOff>257175</xdr:colOff>
      <xdr:row>37</xdr:row>
      <xdr:rowOff>57150</xdr:rowOff>
    </xdr:to>
    <xdr:pic>
      <xdr:nvPicPr>
        <xdr:cNvPr id="40" name="Picture 3"/>
        <xdr:cNvPicPr preferRelativeResize="1">
          <a:picLocks noChangeAspect="1"/>
        </xdr:cNvPicPr>
      </xdr:nvPicPr>
      <xdr:blipFill>
        <a:blip r:embed="rId5"/>
        <a:stretch>
          <a:fillRect/>
        </a:stretch>
      </xdr:blipFill>
      <xdr:spPr>
        <a:xfrm>
          <a:off x="2143125" y="28946475"/>
          <a:ext cx="1619250" cy="733425"/>
        </a:xfrm>
        <a:prstGeom prst="rect">
          <a:avLst/>
        </a:prstGeom>
        <a:noFill/>
        <a:ln w="9525" cmpd="sng">
          <a:noFill/>
        </a:ln>
      </xdr:spPr>
    </xdr:pic>
    <xdr:clientData/>
  </xdr:twoCellAnchor>
  <xdr:twoCellAnchor editAs="oneCell">
    <xdr:from>
      <xdr:col>8</xdr:col>
      <xdr:colOff>476250</xdr:colOff>
      <xdr:row>33</xdr:row>
      <xdr:rowOff>152400</xdr:rowOff>
    </xdr:from>
    <xdr:to>
      <xdr:col>10</xdr:col>
      <xdr:colOff>142875</xdr:colOff>
      <xdr:row>37</xdr:row>
      <xdr:rowOff>76200</xdr:rowOff>
    </xdr:to>
    <xdr:pic>
      <xdr:nvPicPr>
        <xdr:cNvPr id="41" name="Picture 4"/>
        <xdr:cNvPicPr preferRelativeResize="1">
          <a:picLocks noChangeAspect="1"/>
        </xdr:cNvPicPr>
      </xdr:nvPicPr>
      <xdr:blipFill>
        <a:blip r:embed="rId6"/>
        <a:stretch>
          <a:fillRect/>
        </a:stretch>
      </xdr:blipFill>
      <xdr:spPr>
        <a:xfrm>
          <a:off x="7686675" y="28975050"/>
          <a:ext cx="16097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514350</xdr:colOff>
      <xdr:row>4</xdr:row>
      <xdr:rowOff>28575</xdr:rowOff>
    </xdr:from>
    <xdr:to>
      <xdr:col>13</xdr:col>
      <xdr:colOff>571500</xdr:colOff>
      <xdr:row>22</xdr:row>
      <xdr:rowOff>142875</xdr:rowOff>
    </xdr:to>
    <xdr:pic>
      <xdr:nvPicPr>
        <xdr:cNvPr id="1" name="Picture 24"/>
        <xdr:cNvPicPr preferRelativeResize="1">
          <a:picLocks noChangeAspect="1"/>
        </xdr:cNvPicPr>
      </xdr:nvPicPr>
      <xdr:blipFill>
        <a:blip r:embed="rId1"/>
        <a:stretch>
          <a:fillRect/>
        </a:stretch>
      </xdr:blipFill>
      <xdr:spPr>
        <a:xfrm>
          <a:off x="3257550" y="742950"/>
          <a:ext cx="6229350" cy="3371850"/>
        </a:xfrm>
        <a:prstGeom prst="rect">
          <a:avLst/>
        </a:prstGeom>
        <a:noFill/>
        <a:ln w="9525" cmpd="sng">
          <a:noFill/>
        </a:ln>
      </xdr:spPr>
    </xdr:pic>
    <xdr:clientData/>
  </xdr:twoCellAnchor>
  <xdr:twoCellAnchor editAs="oneCell">
    <xdr:from>
      <xdr:col>3</xdr:col>
      <xdr:colOff>104775</xdr:colOff>
      <xdr:row>31</xdr:row>
      <xdr:rowOff>19050</xdr:rowOff>
    </xdr:from>
    <xdr:to>
      <xdr:col>10</xdr:col>
      <xdr:colOff>590550</xdr:colOff>
      <xdr:row>47</xdr:row>
      <xdr:rowOff>9525</xdr:rowOff>
    </xdr:to>
    <xdr:pic>
      <xdr:nvPicPr>
        <xdr:cNvPr id="2" name="Picture 26"/>
        <xdr:cNvPicPr preferRelativeResize="1">
          <a:picLocks noChangeAspect="1"/>
        </xdr:cNvPicPr>
      </xdr:nvPicPr>
      <xdr:blipFill>
        <a:blip r:embed="rId2"/>
        <a:stretch>
          <a:fillRect/>
        </a:stretch>
      </xdr:blipFill>
      <xdr:spPr>
        <a:xfrm>
          <a:off x="2162175" y="5619750"/>
          <a:ext cx="528637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llpentz.com/Woodworking/Cyclone/DCBasics.cfm#CFMRequirementsTabl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M229"/>
  <sheetViews>
    <sheetView tabSelected="1" zoomScalePageLayoutView="0" workbookViewId="0" topLeftCell="A115">
      <selection activeCell="E131" sqref="E131"/>
    </sheetView>
  </sheetViews>
  <sheetFormatPr defaultColWidth="9.00390625" defaultRowHeight="14.25"/>
  <cols>
    <col min="1" max="1" width="7.25390625" style="17" customWidth="1"/>
    <col min="2" max="2" width="12.125" style="1" customWidth="1"/>
    <col min="3" max="3" width="13.50390625" style="1" customWidth="1"/>
    <col min="4" max="4" width="13.125" style="1" customWidth="1"/>
    <col min="5" max="5" width="12.50390625" style="1" customWidth="1"/>
    <col min="6" max="6" width="12.75390625" style="1" customWidth="1"/>
    <col min="7" max="7" width="11.50390625" style="1" customWidth="1"/>
    <col min="8" max="8" width="11.875" style="1" customWidth="1"/>
    <col min="9" max="9" width="12.75390625" style="1" customWidth="1"/>
    <col min="10" max="11" width="12.75390625" style="17" customWidth="1"/>
    <col min="12" max="12" width="9.00390625" style="17" customWidth="1"/>
    <col min="13" max="13" width="4.875" style="17" bestFit="1" customWidth="1"/>
    <col min="14" max="16384" width="9.00390625" style="17" customWidth="1"/>
  </cols>
  <sheetData>
    <row r="1" ht="27.75" customHeight="1" thickBot="1"/>
    <row r="2" spans="2:11" ht="29.25" customHeight="1">
      <c r="B2" s="133" t="s">
        <v>8</v>
      </c>
      <c r="C2" s="134"/>
      <c r="D2" s="134"/>
      <c r="E2" s="134"/>
      <c r="F2" s="134"/>
      <c r="G2" s="134"/>
      <c r="H2" s="134"/>
      <c r="I2" s="134"/>
      <c r="J2" s="143">
        <f ca="1">NOW()</f>
        <v>41772.41412349537</v>
      </c>
      <c r="K2" s="144"/>
    </row>
    <row r="3" spans="2:11" ht="14.25" customHeight="1">
      <c r="B3" s="135"/>
      <c r="C3" s="136"/>
      <c r="D3" s="136"/>
      <c r="E3" s="136"/>
      <c r="F3" s="136"/>
      <c r="G3" s="136"/>
      <c r="H3" s="136"/>
      <c r="I3" s="136"/>
      <c r="J3" s="12"/>
      <c r="K3" s="13" t="s">
        <v>94</v>
      </c>
    </row>
    <row r="4" spans="2:11" ht="15" customHeight="1">
      <c r="B4" s="135"/>
      <c r="C4" s="136"/>
      <c r="D4" s="136"/>
      <c r="E4" s="136"/>
      <c r="F4" s="136"/>
      <c r="G4" s="136"/>
      <c r="H4" s="136"/>
      <c r="I4" s="136"/>
      <c r="J4" s="12"/>
      <c r="K4" s="13" t="s">
        <v>142</v>
      </c>
    </row>
    <row r="5" spans="2:11" ht="87" customHeight="1">
      <c r="B5" s="137" t="s">
        <v>121</v>
      </c>
      <c r="C5" s="138"/>
      <c r="D5" s="138"/>
      <c r="E5" s="138"/>
      <c r="F5" s="138"/>
      <c r="G5" s="138"/>
      <c r="H5" s="138"/>
      <c r="I5" s="138"/>
      <c r="J5" s="138"/>
      <c r="K5" s="139"/>
    </row>
    <row r="6" spans="2:11" ht="85.5" customHeight="1">
      <c r="B6" s="140" t="s">
        <v>114</v>
      </c>
      <c r="C6" s="141"/>
      <c r="D6" s="141"/>
      <c r="E6" s="141"/>
      <c r="F6" s="141"/>
      <c r="G6" s="141"/>
      <c r="H6" s="141"/>
      <c r="I6" s="141"/>
      <c r="J6" s="141"/>
      <c r="K6" s="142"/>
    </row>
    <row r="7" spans="2:11" ht="114.75" customHeight="1">
      <c r="B7" s="111" t="s">
        <v>122</v>
      </c>
      <c r="C7" s="112"/>
      <c r="D7" s="112"/>
      <c r="E7" s="112"/>
      <c r="F7" s="112"/>
      <c r="G7" s="112"/>
      <c r="H7" s="112"/>
      <c r="I7" s="112"/>
      <c r="J7" s="112"/>
      <c r="K7" s="113"/>
    </row>
    <row r="8" spans="2:11" ht="126.75" customHeight="1">
      <c r="B8" s="114" t="s">
        <v>123</v>
      </c>
      <c r="C8" s="117"/>
      <c r="D8" s="117"/>
      <c r="E8" s="117"/>
      <c r="F8" s="117"/>
      <c r="G8" s="117"/>
      <c r="H8" s="117"/>
      <c r="I8" s="117"/>
      <c r="J8" s="117"/>
      <c r="K8" s="118"/>
    </row>
    <row r="9" spans="2:11" ht="145.5" customHeight="1">
      <c r="B9" s="128" t="s">
        <v>136</v>
      </c>
      <c r="C9" s="129"/>
      <c r="D9" s="129"/>
      <c r="E9" s="129"/>
      <c r="F9" s="129"/>
      <c r="G9" s="129"/>
      <c r="H9" s="129"/>
      <c r="I9" s="129"/>
      <c r="J9" s="129"/>
      <c r="K9" s="130"/>
    </row>
    <row r="10" spans="2:11" ht="144.75" customHeight="1">
      <c r="B10" s="125" t="s">
        <v>137</v>
      </c>
      <c r="C10" s="129"/>
      <c r="D10" s="129"/>
      <c r="E10" s="129"/>
      <c r="F10" s="129"/>
      <c r="G10" s="129"/>
      <c r="H10" s="129"/>
      <c r="I10" s="129"/>
      <c r="J10" s="129"/>
      <c r="K10" s="130"/>
    </row>
    <row r="11" spans="2:11" ht="39" customHeight="1">
      <c r="B11" s="119" t="s">
        <v>31</v>
      </c>
      <c r="C11" s="120"/>
      <c r="D11" s="120"/>
      <c r="E11" s="120"/>
      <c r="F11" s="120"/>
      <c r="G11" s="120"/>
      <c r="H11" s="120"/>
      <c r="I11" s="120"/>
      <c r="J11" s="120"/>
      <c r="K11" s="121"/>
    </row>
    <row r="12" spans="2:13" ht="122.25" customHeight="1">
      <c r="B12" s="145" t="s">
        <v>32</v>
      </c>
      <c r="C12" s="112"/>
      <c r="D12" s="112"/>
      <c r="E12" s="112"/>
      <c r="F12" s="112"/>
      <c r="G12" s="112"/>
      <c r="H12" s="112"/>
      <c r="I12" s="112"/>
      <c r="J12" s="112"/>
      <c r="K12" s="113"/>
      <c r="M12" s="61"/>
    </row>
    <row r="13" spans="2:11" ht="106.5" customHeight="1">
      <c r="B13" s="125" t="s">
        <v>33</v>
      </c>
      <c r="C13" s="126"/>
      <c r="D13" s="126"/>
      <c r="E13" s="126"/>
      <c r="F13" s="126"/>
      <c r="G13" s="126"/>
      <c r="H13" s="126"/>
      <c r="I13" s="126"/>
      <c r="J13" s="126"/>
      <c r="K13" s="127"/>
    </row>
    <row r="14" spans="2:11" ht="156" customHeight="1">
      <c r="B14" s="114" t="s">
        <v>138</v>
      </c>
      <c r="C14" s="117"/>
      <c r="D14" s="117"/>
      <c r="E14" s="117"/>
      <c r="F14" s="117"/>
      <c r="G14" s="117"/>
      <c r="H14" s="117"/>
      <c r="I14" s="117"/>
      <c r="J14" s="117"/>
      <c r="K14" s="118"/>
    </row>
    <row r="15" spans="2:11" ht="132" customHeight="1">
      <c r="B15" s="128" t="s">
        <v>139</v>
      </c>
      <c r="C15" s="129"/>
      <c r="D15" s="129"/>
      <c r="E15" s="129"/>
      <c r="F15" s="129"/>
      <c r="G15" s="129"/>
      <c r="H15" s="129"/>
      <c r="I15" s="129"/>
      <c r="J15" s="129"/>
      <c r="K15" s="130"/>
    </row>
    <row r="16" spans="2:11" ht="60.75" customHeight="1">
      <c r="B16" s="114" t="s">
        <v>34</v>
      </c>
      <c r="C16" s="115"/>
      <c r="D16" s="115"/>
      <c r="E16" s="115"/>
      <c r="F16" s="115"/>
      <c r="G16" s="115"/>
      <c r="H16" s="115"/>
      <c r="I16" s="115"/>
      <c r="J16" s="115"/>
      <c r="K16" s="116"/>
    </row>
    <row r="17" spans="2:11" ht="55.5" customHeight="1">
      <c r="B17" s="111" t="s">
        <v>35</v>
      </c>
      <c r="C17" s="112"/>
      <c r="D17" s="112"/>
      <c r="E17" s="112"/>
      <c r="F17" s="112"/>
      <c r="G17" s="112"/>
      <c r="H17" s="112"/>
      <c r="I17" s="112"/>
      <c r="J17" s="112"/>
      <c r="K17" s="113"/>
    </row>
    <row r="18" spans="2:11" ht="127.5" customHeight="1">
      <c r="B18" s="114" t="s">
        <v>140</v>
      </c>
      <c r="C18" s="117"/>
      <c r="D18" s="117"/>
      <c r="E18" s="117"/>
      <c r="F18" s="117"/>
      <c r="G18" s="117"/>
      <c r="H18" s="117"/>
      <c r="I18" s="117"/>
      <c r="J18" s="117"/>
      <c r="K18" s="118"/>
    </row>
    <row r="19" spans="2:11" ht="129" customHeight="1">
      <c r="B19" s="128" t="s">
        <v>133</v>
      </c>
      <c r="C19" s="129"/>
      <c r="D19" s="129"/>
      <c r="E19" s="129"/>
      <c r="F19" s="129"/>
      <c r="G19" s="129"/>
      <c r="H19" s="129"/>
      <c r="I19" s="129"/>
      <c r="J19" s="129"/>
      <c r="K19" s="130"/>
    </row>
    <row r="20" spans="2:11" s="93" customFormat="1" ht="28.5" customHeight="1">
      <c r="B20" s="28" t="s">
        <v>6</v>
      </c>
      <c r="C20" s="90"/>
      <c r="D20" s="90"/>
      <c r="E20" s="90"/>
      <c r="F20" s="90"/>
      <c r="G20" s="91"/>
      <c r="H20" s="91"/>
      <c r="I20" s="91"/>
      <c r="J20" s="91"/>
      <c r="K20" s="92"/>
    </row>
    <row r="21" spans="2:11" s="93" customFormat="1" ht="15">
      <c r="B21" s="94"/>
      <c r="C21" s="147"/>
      <c r="D21" s="147"/>
      <c r="E21" s="147"/>
      <c r="F21" s="147"/>
      <c r="G21" s="147"/>
      <c r="H21" s="147"/>
      <c r="I21" s="147"/>
      <c r="J21" s="147"/>
      <c r="K21" s="148"/>
    </row>
    <row r="22" spans="2:11" s="93" customFormat="1" ht="36" customHeight="1">
      <c r="B22" s="95">
        <f>B21+1</f>
        <v>1</v>
      </c>
      <c r="C22" s="123" t="s">
        <v>91</v>
      </c>
      <c r="D22" s="123"/>
      <c r="E22" s="123"/>
      <c r="F22" s="123"/>
      <c r="G22" s="123"/>
      <c r="H22" s="123"/>
      <c r="I22" s="123"/>
      <c r="J22" s="123"/>
      <c r="K22" s="124"/>
    </row>
    <row r="23" spans="2:11" s="93" customFormat="1" ht="18" customHeight="1">
      <c r="B23" s="95">
        <f>B22+1</f>
        <v>2</v>
      </c>
      <c r="C23" s="151" t="s">
        <v>92</v>
      </c>
      <c r="D23" s="151"/>
      <c r="E23" s="151"/>
      <c r="F23" s="151"/>
      <c r="G23" s="151"/>
      <c r="H23" s="151"/>
      <c r="I23" s="151"/>
      <c r="J23" s="151"/>
      <c r="K23" s="152"/>
    </row>
    <row r="24" spans="2:11" s="93" customFormat="1" ht="36" customHeight="1">
      <c r="B24" s="95">
        <f>B23+1</f>
        <v>3</v>
      </c>
      <c r="C24" s="123" t="s">
        <v>93</v>
      </c>
      <c r="D24" s="123"/>
      <c r="E24" s="123"/>
      <c r="F24" s="123"/>
      <c r="G24" s="123"/>
      <c r="H24" s="123"/>
      <c r="I24" s="123"/>
      <c r="J24" s="123"/>
      <c r="K24" s="124"/>
    </row>
    <row r="25" spans="2:11" s="93" customFormat="1" ht="110.25" customHeight="1">
      <c r="B25" s="95">
        <v>4</v>
      </c>
      <c r="C25" s="123" t="s">
        <v>110</v>
      </c>
      <c r="D25" s="123"/>
      <c r="E25" s="123"/>
      <c r="F25" s="123"/>
      <c r="G25" s="123"/>
      <c r="H25" s="123"/>
      <c r="I25" s="123"/>
      <c r="J25" s="123"/>
      <c r="K25" s="124"/>
    </row>
    <row r="26" spans="2:11" s="93" customFormat="1" ht="51.75" customHeight="1">
      <c r="B26" s="95">
        <v>5</v>
      </c>
      <c r="C26" s="155" t="s">
        <v>124</v>
      </c>
      <c r="D26" s="155"/>
      <c r="E26" s="155"/>
      <c r="F26" s="155"/>
      <c r="G26" s="155"/>
      <c r="H26" s="155"/>
      <c r="I26" s="155"/>
      <c r="J26" s="155"/>
      <c r="K26" s="156"/>
    </row>
    <row r="27" spans="2:11" s="93" customFormat="1" ht="51.75" customHeight="1">
      <c r="B27" s="95">
        <v>6</v>
      </c>
      <c r="C27" s="123" t="s">
        <v>125</v>
      </c>
      <c r="D27" s="123"/>
      <c r="E27" s="123"/>
      <c r="F27" s="123"/>
      <c r="G27" s="123"/>
      <c r="H27" s="123"/>
      <c r="I27" s="123"/>
      <c r="J27" s="123"/>
      <c r="K27" s="124"/>
    </row>
    <row r="28" spans="2:11" s="93" customFormat="1" ht="23.25" customHeight="1">
      <c r="B28" s="95"/>
      <c r="C28" s="101"/>
      <c r="D28" s="101"/>
      <c r="E28" s="101"/>
      <c r="F28" s="101"/>
      <c r="G28" s="101"/>
      <c r="H28" s="101"/>
      <c r="I28" s="101"/>
      <c r="J28" s="101"/>
      <c r="K28" s="102"/>
    </row>
    <row r="29" spans="2:12" ht="24.75" customHeight="1">
      <c r="B29" s="103"/>
      <c r="C29" s="146" t="s">
        <v>108</v>
      </c>
      <c r="D29" s="146"/>
      <c r="E29" s="146"/>
      <c r="F29" s="146"/>
      <c r="G29" s="146"/>
      <c r="H29" s="146"/>
      <c r="I29" s="146"/>
      <c r="J29" s="146"/>
      <c r="K29" s="146"/>
      <c r="L29" s="93"/>
    </row>
    <row r="30" spans="2:11" s="93" customFormat="1" ht="18" customHeight="1">
      <c r="B30" s="28" t="s">
        <v>7</v>
      </c>
      <c r="C30" s="96" t="s">
        <v>16</v>
      </c>
      <c r="D30" s="90"/>
      <c r="E30" s="90"/>
      <c r="F30" s="90"/>
      <c r="G30" s="90"/>
      <c r="H30" s="97"/>
      <c r="I30" s="97"/>
      <c r="J30" s="97"/>
      <c r="K30" s="98"/>
    </row>
    <row r="31" spans="2:11" s="93" customFormat="1" ht="101.25" customHeight="1">
      <c r="B31" s="28"/>
      <c r="C31" s="149" t="s">
        <v>109</v>
      </c>
      <c r="D31" s="149"/>
      <c r="E31" s="149"/>
      <c r="F31" s="149"/>
      <c r="G31" s="149"/>
      <c r="H31" s="149"/>
      <c r="I31" s="149"/>
      <c r="J31" s="149"/>
      <c r="K31" s="150"/>
    </row>
    <row r="32" spans="2:11" s="93" customFormat="1" ht="18" customHeight="1">
      <c r="B32" s="28"/>
      <c r="C32" s="153" t="s">
        <v>5</v>
      </c>
      <c r="D32" s="153"/>
      <c r="E32" s="153"/>
      <c r="F32" s="153"/>
      <c r="G32" s="153"/>
      <c r="H32" s="153"/>
      <c r="I32" s="153"/>
      <c r="J32" s="153"/>
      <c r="K32" s="154"/>
    </row>
    <row r="33" spans="2:11" s="93" customFormat="1" ht="18" customHeight="1">
      <c r="B33" s="28"/>
      <c r="C33" s="153" t="s">
        <v>78</v>
      </c>
      <c r="D33" s="153"/>
      <c r="E33" s="153"/>
      <c r="F33" s="153"/>
      <c r="G33" s="153"/>
      <c r="H33" s="153"/>
      <c r="I33" s="153"/>
      <c r="J33" s="153"/>
      <c r="K33" s="154"/>
    </row>
    <row r="34" spans="2:11" s="93" customFormat="1" ht="15.75">
      <c r="B34" s="28"/>
      <c r="C34" s="97"/>
      <c r="D34" s="97"/>
      <c r="E34" s="97"/>
      <c r="F34" s="97"/>
      <c r="G34" s="97"/>
      <c r="H34" s="97"/>
      <c r="I34" s="97"/>
      <c r="J34" s="97"/>
      <c r="K34" s="98"/>
    </row>
    <row r="35" spans="2:11" s="93" customFormat="1" ht="15.75">
      <c r="B35" s="28"/>
      <c r="C35" s="97"/>
      <c r="D35" s="97"/>
      <c r="E35" s="97"/>
      <c r="F35" s="97"/>
      <c r="G35" s="97"/>
      <c r="H35" s="97"/>
      <c r="I35" s="97"/>
      <c r="J35" s="97"/>
      <c r="K35" s="98"/>
    </row>
    <row r="36" spans="2:11" s="93" customFormat="1" ht="15.75">
      <c r="B36" s="28"/>
      <c r="C36" s="97"/>
      <c r="D36" s="97"/>
      <c r="E36" s="97"/>
      <c r="F36" s="97"/>
      <c r="G36" s="97"/>
      <c r="H36" s="97"/>
      <c r="I36" s="97"/>
      <c r="J36" s="97"/>
      <c r="K36" s="98"/>
    </row>
    <row r="37" spans="2:11" s="93" customFormat="1" ht="15.75">
      <c r="B37" s="28"/>
      <c r="C37" s="97"/>
      <c r="D37" s="97"/>
      <c r="E37" s="97"/>
      <c r="F37" s="97"/>
      <c r="G37" s="97"/>
      <c r="H37" s="97"/>
      <c r="I37" s="97"/>
      <c r="J37" s="97"/>
      <c r="K37" s="98"/>
    </row>
    <row r="38" spans="2:13" s="93" customFormat="1" ht="15.75">
      <c r="B38" s="28"/>
      <c r="C38" s="97"/>
      <c r="D38" s="97"/>
      <c r="E38" s="97"/>
      <c r="F38" s="97"/>
      <c r="G38" s="97"/>
      <c r="H38" s="97"/>
      <c r="I38" s="97"/>
      <c r="J38" s="97"/>
      <c r="K38" s="98"/>
      <c r="M38" s="104"/>
    </row>
    <row r="39" spans="2:11" s="93" customFormat="1" ht="15">
      <c r="B39" s="28"/>
      <c r="C39" s="97"/>
      <c r="D39" s="97" t="s">
        <v>84</v>
      </c>
      <c r="E39" s="97"/>
      <c r="F39" s="97"/>
      <c r="G39" s="97"/>
      <c r="H39" s="97" t="s">
        <v>85</v>
      </c>
      <c r="I39" s="97"/>
      <c r="J39" s="97" t="s">
        <v>86</v>
      </c>
      <c r="K39" s="98"/>
    </row>
    <row r="40" spans="2:11" s="93" customFormat="1" ht="15">
      <c r="B40" s="28"/>
      <c r="C40" s="97"/>
      <c r="D40" s="97"/>
      <c r="E40" s="97"/>
      <c r="F40" s="97"/>
      <c r="G40" s="97"/>
      <c r="H40" s="97"/>
      <c r="I40" s="97"/>
      <c r="J40" s="97"/>
      <c r="K40" s="98"/>
    </row>
    <row r="41" spans="2:11" s="93" customFormat="1" ht="18" customHeight="1">
      <c r="B41" s="94"/>
      <c r="C41" s="97" t="s">
        <v>87</v>
      </c>
      <c r="D41" s="97"/>
      <c r="E41" s="97"/>
      <c r="F41" s="97"/>
      <c r="G41" s="97"/>
      <c r="H41" s="97"/>
      <c r="I41" s="97"/>
      <c r="J41" s="97"/>
      <c r="K41" s="98"/>
    </row>
    <row r="42" spans="2:11" s="93" customFormat="1" ht="18" customHeight="1">
      <c r="B42" s="94"/>
      <c r="C42" s="97" t="s">
        <v>88</v>
      </c>
      <c r="D42" s="97"/>
      <c r="E42" s="97"/>
      <c r="F42" s="97"/>
      <c r="G42" s="97"/>
      <c r="H42" s="97"/>
      <c r="I42" s="97"/>
      <c r="J42" s="97"/>
      <c r="K42" s="98"/>
    </row>
    <row r="43" spans="2:11" s="93" customFormat="1" ht="18" customHeight="1">
      <c r="B43" s="94"/>
      <c r="C43" s="97" t="s">
        <v>89</v>
      </c>
      <c r="D43" s="97"/>
      <c r="E43" s="97"/>
      <c r="F43" s="97"/>
      <c r="G43" s="97"/>
      <c r="H43" s="97"/>
      <c r="I43" s="97"/>
      <c r="J43" s="97"/>
      <c r="K43" s="98"/>
    </row>
    <row r="44" spans="2:11" s="93" customFormat="1" ht="18" customHeight="1">
      <c r="B44" s="94"/>
      <c r="C44" s="97"/>
      <c r="D44" s="97"/>
      <c r="E44" s="97"/>
      <c r="F44" s="97"/>
      <c r="G44" s="97"/>
      <c r="H44" s="97"/>
      <c r="I44" s="97"/>
      <c r="J44" s="97"/>
      <c r="K44" s="98"/>
    </row>
    <row r="45" spans="2:11" s="93" customFormat="1" ht="18" customHeight="1">
      <c r="B45" s="94"/>
      <c r="C45" s="97"/>
      <c r="D45" s="97"/>
      <c r="E45" s="97"/>
      <c r="F45" s="97"/>
      <c r="G45" s="97"/>
      <c r="H45" s="97"/>
      <c r="I45" s="97"/>
      <c r="J45" s="97"/>
      <c r="K45" s="98"/>
    </row>
    <row r="46" spans="2:11" s="93" customFormat="1" ht="18" customHeight="1">
      <c r="B46" s="94"/>
      <c r="C46" s="97"/>
      <c r="D46" s="97"/>
      <c r="E46" s="97"/>
      <c r="F46" s="97"/>
      <c r="G46" s="97"/>
      <c r="H46" s="97"/>
      <c r="I46" s="97"/>
      <c r="J46" s="97"/>
      <c r="K46" s="98"/>
    </row>
    <row r="47" spans="2:11" s="93" customFormat="1" ht="18" customHeight="1">
      <c r="B47" s="94"/>
      <c r="C47" s="153" t="s">
        <v>79</v>
      </c>
      <c r="D47" s="153"/>
      <c r="E47" s="153"/>
      <c r="F47" s="153"/>
      <c r="G47" s="153"/>
      <c r="H47" s="153"/>
      <c r="I47" s="153"/>
      <c r="J47" s="153"/>
      <c r="K47" s="154"/>
    </row>
    <row r="48" spans="2:11" s="93" customFormat="1" ht="18" customHeight="1">
      <c r="B48" s="94"/>
      <c r="C48" s="153" t="s">
        <v>80</v>
      </c>
      <c r="D48" s="153"/>
      <c r="E48" s="153"/>
      <c r="F48" s="153"/>
      <c r="G48" s="153"/>
      <c r="H48" s="153"/>
      <c r="I48" s="153"/>
      <c r="J48" s="153"/>
      <c r="K48" s="154"/>
    </row>
    <row r="49" spans="2:11" s="93" customFormat="1" ht="18" customHeight="1">
      <c r="B49" s="94"/>
      <c r="C49" s="97" t="s">
        <v>81</v>
      </c>
      <c r="D49" s="97"/>
      <c r="E49" s="97"/>
      <c r="F49" s="97"/>
      <c r="G49" s="97"/>
      <c r="H49" s="97"/>
      <c r="I49" s="97"/>
      <c r="J49" s="97"/>
      <c r="K49" s="98"/>
    </row>
    <row r="50" spans="2:11" s="93" customFormat="1" ht="18" customHeight="1">
      <c r="B50" s="94"/>
      <c r="C50" s="97" t="s">
        <v>82</v>
      </c>
      <c r="D50" s="97"/>
      <c r="E50" s="97"/>
      <c r="F50" s="97"/>
      <c r="G50" s="97"/>
      <c r="H50" s="97"/>
      <c r="I50" s="97"/>
      <c r="J50" s="97"/>
      <c r="K50" s="98"/>
    </row>
    <row r="51" spans="2:11" s="93" customFormat="1" ht="18" customHeight="1">
      <c r="B51" s="94"/>
      <c r="C51" s="153" t="s">
        <v>83</v>
      </c>
      <c r="D51" s="153"/>
      <c r="E51" s="153"/>
      <c r="F51" s="153"/>
      <c r="G51" s="153"/>
      <c r="H51" s="153"/>
      <c r="I51" s="153"/>
      <c r="J51" s="153"/>
      <c r="K51" s="154"/>
    </row>
    <row r="52" spans="2:11" s="93" customFormat="1" ht="15">
      <c r="B52" s="166"/>
      <c r="C52" s="167"/>
      <c r="D52" s="167"/>
      <c r="E52" s="167"/>
      <c r="F52" s="167"/>
      <c r="G52" s="167"/>
      <c r="H52" s="167"/>
      <c r="I52" s="167"/>
      <c r="J52" s="167"/>
      <c r="K52" s="168"/>
    </row>
    <row r="53" spans="2:11" ht="24.75" customHeight="1">
      <c r="B53" s="157" t="s">
        <v>0</v>
      </c>
      <c r="C53" s="158"/>
      <c r="D53" s="158"/>
      <c r="E53" s="158"/>
      <c r="F53" s="158"/>
      <c r="G53" s="158"/>
      <c r="H53" s="158"/>
      <c r="I53" s="158"/>
      <c r="J53" s="158"/>
      <c r="K53" s="159"/>
    </row>
    <row r="54" spans="2:11" ht="113.25" customHeight="1">
      <c r="B54" s="160" t="s">
        <v>95</v>
      </c>
      <c r="C54" s="161"/>
      <c r="D54" s="161"/>
      <c r="E54" s="161"/>
      <c r="F54" s="161"/>
      <c r="G54" s="161"/>
      <c r="H54" s="161"/>
      <c r="I54" s="161"/>
      <c r="J54" s="161"/>
      <c r="K54" s="162"/>
    </row>
    <row r="55" spans="1:11" ht="189.75" customHeight="1">
      <c r="A55" s="89"/>
      <c r="B55" s="87"/>
      <c r="C55" s="87"/>
      <c r="D55" s="87"/>
      <c r="E55" s="87"/>
      <c r="F55" s="87"/>
      <c r="G55" s="87"/>
      <c r="H55" s="87"/>
      <c r="I55" s="87"/>
      <c r="J55" s="87"/>
      <c r="K55" s="88"/>
    </row>
    <row r="56" spans="2:11" ht="105" customHeight="1">
      <c r="B56" s="190" t="s">
        <v>90</v>
      </c>
      <c r="C56" s="191"/>
      <c r="D56" s="191"/>
      <c r="E56" s="191"/>
      <c r="F56" s="191"/>
      <c r="G56" s="191"/>
      <c r="H56" s="191"/>
      <c r="I56" s="191"/>
      <c r="J56" s="191"/>
      <c r="K56" s="192"/>
    </row>
    <row r="57" spans="2:11" ht="159" customHeight="1">
      <c r="B57" s="172" t="s">
        <v>141</v>
      </c>
      <c r="C57" s="173"/>
      <c r="D57" s="173"/>
      <c r="E57" s="173"/>
      <c r="F57" s="173"/>
      <c r="G57" s="173"/>
      <c r="H57" s="173"/>
      <c r="I57" s="173"/>
      <c r="J57" s="173"/>
      <c r="K57" s="174"/>
    </row>
    <row r="58" spans="2:11" ht="37.5" customHeight="1" thickBot="1">
      <c r="B58" s="35"/>
      <c r="C58" s="33"/>
      <c r="D58" s="33"/>
      <c r="E58" s="33"/>
      <c r="F58" s="33"/>
      <c r="G58" s="33"/>
      <c r="H58" s="33"/>
      <c r="I58" s="33"/>
      <c r="J58" s="33"/>
      <c r="K58" s="34"/>
    </row>
    <row r="59" spans="2:11" ht="75">
      <c r="B59" s="36"/>
      <c r="C59" s="37" t="s">
        <v>18</v>
      </c>
      <c r="D59" s="38" t="s">
        <v>19</v>
      </c>
      <c r="E59" s="39" t="s">
        <v>97</v>
      </c>
      <c r="F59" s="40"/>
      <c r="G59" s="40"/>
      <c r="H59" s="40"/>
      <c r="I59" s="40"/>
      <c r="J59" s="41"/>
      <c r="K59" s="42"/>
    </row>
    <row r="60" spans="2:11" ht="14.25">
      <c r="B60" s="36"/>
      <c r="C60" s="45">
        <v>3.5</v>
      </c>
      <c r="D60" s="46">
        <f>PI()*((C60/2)^2)</f>
        <v>9.62112750161874</v>
      </c>
      <c r="E60" s="99">
        <f>1000*D60/$D$63</f>
        <v>340.27777777777777</v>
      </c>
      <c r="F60" s="40"/>
      <c r="G60" s="40"/>
      <c r="H60" s="40"/>
      <c r="I60" s="40"/>
      <c r="J60" s="41"/>
      <c r="K60" s="42"/>
    </row>
    <row r="61" spans="2:11" ht="14.25">
      <c r="B61" s="36"/>
      <c r="C61" s="43">
        <v>4</v>
      </c>
      <c r="D61" s="44">
        <f>PI()*((C61/2)^2)</f>
        <v>12.566370614359172</v>
      </c>
      <c r="E61" s="99">
        <f>1000*D61/$D$63</f>
        <v>444.4444444444444</v>
      </c>
      <c r="F61" s="40"/>
      <c r="G61" s="40"/>
      <c r="H61" s="40"/>
      <c r="I61" s="40"/>
      <c r="J61" s="41"/>
      <c r="K61" s="42"/>
    </row>
    <row r="62" spans="2:11" ht="14.25">
      <c r="B62" s="36"/>
      <c r="C62" s="45">
        <v>5</v>
      </c>
      <c r="D62" s="46">
        <f>PI()*((C62/2)^2)</f>
        <v>19.634954084936208</v>
      </c>
      <c r="E62" s="99">
        <f>1000*D62/$D$63</f>
        <v>694.4444444444446</v>
      </c>
      <c r="F62" s="40"/>
      <c r="G62" s="40"/>
      <c r="H62" s="40"/>
      <c r="I62" s="40"/>
      <c r="J62" s="41"/>
      <c r="K62" s="42"/>
    </row>
    <row r="63" spans="2:11" ht="15" thickBot="1">
      <c r="B63" s="36"/>
      <c r="C63" s="47">
        <v>6</v>
      </c>
      <c r="D63" s="48">
        <f>PI()*((C63/2)^2)</f>
        <v>28.274333882308138</v>
      </c>
      <c r="E63" s="100">
        <f>1000*D63/$D$63</f>
        <v>1000</v>
      </c>
      <c r="F63" s="40"/>
      <c r="G63" s="40"/>
      <c r="H63" s="40"/>
      <c r="I63" s="40"/>
      <c r="J63" s="41"/>
      <c r="K63" s="42"/>
    </row>
    <row r="64" spans="2:11" ht="14.25">
      <c r="B64" s="36"/>
      <c r="C64" s="63"/>
      <c r="D64" s="63"/>
      <c r="E64" s="63"/>
      <c r="F64" s="40"/>
      <c r="G64" s="40"/>
      <c r="H64" s="40"/>
      <c r="I64" s="40"/>
      <c r="J64" s="41"/>
      <c r="K64" s="42"/>
    </row>
    <row r="65" spans="2:11" ht="14.25">
      <c r="B65" s="36"/>
      <c r="C65" s="63"/>
      <c r="D65" s="63"/>
      <c r="E65" s="63"/>
      <c r="F65" s="40"/>
      <c r="G65" s="40"/>
      <c r="H65" s="40"/>
      <c r="I65" s="40"/>
      <c r="J65" s="41"/>
      <c r="K65" s="42"/>
    </row>
    <row r="66" spans="2:11" ht="14.25">
      <c r="B66" s="36"/>
      <c r="C66" s="63"/>
      <c r="D66" s="63"/>
      <c r="E66" s="63"/>
      <c r="F66" s="40"/>
      <c r="G66" s="40"/>
      <c r="H66" s="40"/>
      <c r="I66" s="40"/>
      <c r="J66" s="41"/>
      <c r="K66" s="42"/>
    </row>
    <row r="67" spans="2:11" ht="14.25">
      <c r="B67" s="36"/>
      <c r="C67" s="63"/>
      <c r="D67" s="63"/>
      <c r="E67" s="63"/>
      <c r="F67" s="40"/>
      <c r="G67" s="40"/>
      <c r="H67" s="40"/>
      <c r="I67" s="40"/>
      <c r="J67" s="41"/>
      <c r="K67" s="42"/>
    </row>
    <row r="68" spans="2:11" ht="14.25">
      <c r="B68" s="36"/>
      <c r="C68" s="62"/>
      <c r="D68" s="63"/>
      <c r="E68" s="64"/>
      <c r="F68" s="40"/>
      <c r="G68" s="40"/>
      <c r="H68" s="40"/>
      <c r="I68" s="40"/>
      <c r="J68" s="41"/>
      <c r="K68" s="42"/>
    </row>
    <row r="69" spans="2:11" ht="14.25" customHeight="1">
      <c r="B69" s="36"/>
      <c r="C69" s="62"/>
      <c r="D69" s="63"/>
      <c r="E69" s="64"/>
      <c r="F69" s="40"/>
      <c r="G69" s="40"/>
      <c r="H69" s="40"/>
      <c r="I69" s="40"/>
      <c r="J69" s="41"/>
      <c r="K69" s="42"/>
    </row>
    <row r="70" spans="2:11" ht="76.5" customHeight="1">
      <c r="B70" s="163"/>
      <c r="C70" s="164"/>
      <c r="D70" s="164"/>
      <c r="E70" s="164"/>
      <c r="F70" s="164"/>
      <c r="G70" s="164"/>
      <c r="H70" s="164"/>
      <c r="I70" s="164"/>
      <c r="J70" s="164"/>
      <c r="K70" s="165"/>
    </row>
    <row r="71" spans="2:11" ht="70.5" customHeight="1">
      <c r="B71" s="178" t="s">
        <v>96</v>
      </c>
      <c r="C71" s="179"/>
      <c r="D71" s="179"/>
      <c r="E71" s="179"/>
      <c r="F71" s="179"/>
      <c r="G71" s="179"/>
      <c r="H71" s="179"/>
      <c r="I71" s="179"/>
      <c r="J71" s="179"/>
      <c r="K71" s="180"/>
    </row>
    <row r="72" spans="2:11" ht="69.75" customHeight="1">
      <c r="B72" s="160" t="s">
        <v>111</v>
      </c>
      <c r="C72" s="161"/>
      <c r="D72" s="161"/>
      <c r="E72" s="161"/>
      <c r="F72" s="161"/>
      <c r="G72" s="161"/>
      <c r="H72" s="161"/>
      <c r="I72" s="161"/>
      <c r="J72" s="161"/>
      <c r="K72" s="162"/>
    </row>
    <row r="73" spans="2:11" ht="194.25" customHeight="1">
      <c r="B73" s="175" t="s">
        <v>130</v>
      </c>
      <c r="C73" s="176"/>
      <c r="D73" s="176"/>
      <c r="E73" s="176"/>
      <c r="F73" s="176"/>
      <c r="G73" s="176"/>
      <c r="H73" s="176"/>
      <c r="I73" s="176"/>
      <c r="J73" s="176"/>
      <c r="K73" s="177"/>
    </row>
    <row r="74" spans="2:11" ht="72" customHeight="1">
      <c r="B74" s="172" t="s">
        <v>131</v>
      </c>
      <c r="C74" s="173"/>
      <c r="D74" s="173"/>
      <c r="E74" s="173"/>
      <c r="F74" s="173"/>
      <c r="G74" s="173"/>
      <c r="H74" s="173"/>
      <c r="I74" s="173"/>
      <c r="J74" s="173"/>
      <c r="K74" s="174"/>
    </row>
    <row r="75" spans="2:11" ht="86.25" customHeight="1">
      <c r="B75" s="175" t="s">
        <v>132</v>
      </c>
      <c r="C75" s="176"/>
      <c r="D75" s="176"/>
      <c r="E75" s="176"/>
      <c r="F75" s="176"/>
      <c r="G75" s="176"/>
      <c r="H75" s="176"/>
      <c r="I75" s="176"/>
      <c r="J75" s="176"/>
      <c r="K75" s="177"/>
    </row>
    <row r="76" spans="2:11" ht="178.5" customHeight="1">
      <c r="B76" s="184" t="s">
        <v>134</v>
      </c>
      <c r="C76" s="185"/>
      <c r="D76" s="185"/>
      <c r="E76" s="185"/>
      <c r="F76" s="185"/>
      <c r="G76" s="185"/>
      <c r="H76" s="185"/>
      <c r="I76" s="185"/>
      <c r="J76" s="185"/>
      <c r="K76" s="186"/>
    </row>
    <row r="77" spans="2:11" ht="30" customHeight="1">
      <c r="B77" s="107"/>
      <c r="C77" s="108"/>
      <c r="D77" s="108"/>
      <c r="E77" s="108"/>
      <c r="F77" s="108"/>
      <c r="G77" s="108"/>
      <c r="H77" s="108"/>
      <c r="I77" s="108"/>
      <c r="J77" s="108"/>
      <c r="K77" s="109"/>
    </row>
    <row r="78" spans="2:11" ht="30" customHeight="1">
      <c r="B78" s="107"/>
      <c r="C78" s="108"/>
      <c r="D78" s="108"/>
      <c r="E78" s="108"/>
      <c r="F78" s="108"/>
      <c r="G78" s="108"/>
      <c r="H78" s="108"/>
      <c r="I78" s="108"/>
      <c r="J78" s="108"/>
      <c r="K78" s="109"/>
    </row>
    <row r="79" spans="2:11" ht="30" customHeight="1">
      <c r="B79" s="107"/>
      <c r="C79" s="108"/>
      <c r="D79" s="108"/>
      <c r="E79" s="108"/>
      <c r="F79" s="108"/>
      <c r="G79" s="108"/>
      <c r="H79" s="108"/>
      <c r="I79" s="108"/>
      <c r="J79" s="108"/>
      <c r="K79" s="109"/>
    </row>
    <row r="80" spans="2:11" ht="30" customHeight="1">
      <c r="B80" s="107"/>
      <c r="C80" s="108"/>
      <c r="D80" s="108"/>
      <c r="E80" s="108"/>
      <c r="F80" s="108"/>
      <c r="G80" s="108"/>
      <c r="H80" s="108"/>
      <c r="I80" s="108"/>
      <c r="J80" s="108"/>
      <c r="K80" s="109"/>
    </row>
    <row r="81" spans="2:11" ht="30" customHeight="1">
      <c r="B81" s="107"/>
      <c r="C81" s="108"/>
      <c r="D81" s="108"/>
      <c r="E81" s="108"/>
      <c r="F81" s="108"/>
      <c r="G81" s="108"/>
      <c r="H81" s="108"/>
      <c r="I81" s="108"/>
      <c r="J81" s="108"/>
      <c r="K81" s="109"/>
    </row>
    <row r="82" spans="2:11" ht="30" customHeight="1">
      <c r="B82" s="107"/>
      <c r="C82" s="108"/>
      <c r="D82" s="108"/>
      <c r="E82" s="108"/>
      <c r="F82" s="108"/>
      <c r="G82" s="108"/>
      <c r="H82" s="108"/>
      <c r="I82" s="108"/>
      <c r="J82" s="108"/>
      <c r="K82" s="109"/>
    </row>
    <row r="83" spans="2:11" ht="30" customHeight="1">
      <c r="B83" s="107"/>
      <c r="C83" s="108"/>
      <c r="D83" s="108"/>
      <c r="E83" s="108"/>
      <c r="F83" s="108"/>
      <c r="G83" s="108"/>
      <c r="H83" s="108"/>
      <c r="I83" s="108"/>
      <c r="J83" s="108"/>
      <c r="K83" s="109"/>
    </row>
    <row r="84" spans="2:11" ht="30" customHeight="1">
      <c r="B84" s="107"/>
      <c r="C84" s="108"/>
      <c r="D84" s="108"/>
      <c r="E84" s="108"/>
      <c r="F84" s="108"/>
      <c r="G84" s="108"/>
      <c r="H84" s="108"/>
      <c r="I84" s="108"/>
      <c r="J84" s="108"/>
      <c r="K84" s="109"/>
    </row>
    <row r="85" spans="2:11" ht="30" customHeight="1">
      <c r="B85" s="107"/>
      <c r="C85" s="108"/>
      <c r="D85" s="108"/>
      <c r="E85" s="108"/>
      <c r="F85" s="108"/>
      <c r="G85" s="108"/>
      <c r="H85" s="108"/>
      <c r="I85" s="108"/>
      <c r="J85" s="108"/>
      <c r="K85" s="109"/>
    </row>
    <row r="86" spans="2:11" ht="30" customHeight="1">
      <c r="B86" s="107"/>
      <c r="C86" s="108"/>
      <c r="D86" s="108"/>
      <c r="E86" s="108"/>
      <c r="F86" s="108"/>
      <c r="G86" s="108"/>
      <c r="H86" s="108"/>
      <c r="I86" s="108"/>
      <c r="J86" s="108"/>
      <c r="K86" s="109"/>
    </row>
    <row r="87" spans="2:11" ht="30" customHeight="1">
      <c r="B87" s="107"/>
      <c r="C87" s="108"/>
      <c r="D87" s="108"/>
      <c r="E87" s="108"/>
      <c r="F87" s="108"/>
      <c r="G87" s="108"/>
      <c r="H87" s="108"/>
      <c r="I87" s="108"/>
      <c r="J87" s="108"/>
      <c r="K87" s="109"/>
    </row>
    <row r="88" spans="2:11" ht="30" customHeight="1">
      <c r="B88" s="107"/>
      <c r="C88" s="108"/>
      <c r="D88" s="108"/>
      <c r="E88" s="108"/>
      <c r="F88" s="108"/>
      <c r="G88" s="108"/>
      <c r="H88" s="108"/>
      <c r="I88" s="108"/>
      <c r="J88" s="108"/>
      <c r="K88" s="109"/>
    </row>
    <row r="89" spans="2:11" ht="30" customHeight="1">
      <c r="B89" s="107"/>
      <c r="C89" s="108"/>
      <c r="D89" s="108"/>
      <c r="E89" s="108"/>
      <c r="F89" s="108"/>
      <c r="G89" s="108"/>
      <c r="H89" s="108"/>
      <c r="I89" s="108"/>
      <c r="J89" s="108"/>
      <c r="K89" s="109"/>
    </row>
    <row r="90" spans="2:11" ht="30" customHeight="1">
      <c r="B90" s="107"/>
      <c r="C90" s="108"/>
      <c r="D90" s="108"/>
      <c r="E90" s="108"/>
      <c r="F90" s="108"/>
      <c r="G90" s="108"/>
      <c r="H90" s="108"/>
      <c r="I90" s="108"/>
      <c r="J90" s="108"/>
      <c r="K90" s="109"/>
    </row>
    <row r="91" spans="2:11" ht="30" customHeight="1">
      <c r="B91" s="107"/>
      <c r="C91" s="108"/>
      <c r="D91" s="108"/>
      <c r="E91" s="108"/>
      <c r="F91" s="108"/>
      <c r="G91" s="108"/>
      <c r="H91" s="108"/>
      <c r="I91" s="108"/>
      <c r="J91" s="108"/>
      <c r="K91" s="109"/>
    </row>
    <row r="92" spans="2:11" ht="30" customHeight="1">
      <c r="B92" s="107"/>
      <c r="C92" s="108"/>
      <c r="D92" s="108"/>
      <c r="E92" s="108"/>
      <c r="F92" s="108"/>
      <c r="G92" s="108"/>
      <c r="H92" s="108"/>
      <c r="I92" s="108"/>
      <c r="J92" s="108"/>
      <c r="K92" s="109"/>
    </row>
    <row r="93" spans="2:11" ht="30" customHeight="1">
      <c r="B93" s="107"/>
      <c r="C93" s="108"/>
      <c r="D93" s="108"/>
      <c r="E93" s="108"/>
      <c r="F93" s="108"/>
      <c r="G93" s="108"/>
      <c r="H93" s="108"/>
      <c r="I93" s="108"/>
      <c r="J93" s="108"/>
      <c r="K93" s="109"/>
    </row>
    <row r="94" spans="2:11" ht="30" customHeight="1">
      <c r="B94" s="181"/>
      <c r="C94" s="182"/>
      <c r="D94" s="182"/>
      <c r="E94" s="182"/>
      <c r="F94" s="182"/>
      <c r="G94" s="182"/>
      <c r="H94" s="182"/>
      <c r="I94" s="182"/>
      <c r="J94" s="182"/>
      <c r="K94" s="183"/>
    </row>
    <row r="95" spans="2:11" ht="82.5" customHeight="1" thickBot="1">
      <c r="B95" s="187" t="s">
        <v>135</v>
      </c>
      <c r="C95" s="188"/>
      <c r="D95" s="188"/>
      <c r="E95" s="188"/>
      <c r="F95" s="188"/>
      <c r="G95" s="188"/>
      <c r="H95" s="188"/>
      <c r="I95" s="188"/>
      <c r="J95" s="188"/>
      <c r="K95" s="189"/>
    </row>
    <row r="96" spans="3:10" ht="31.5" customHeight="1">
      <c r="C96" s="105"/>
      <c r="D96" s="105"/>
      <c r="E96" s="105"/>
      <c r="F96" s="105"/>
      <c r="G96" s="105"/>
      <c r="H96" s="105"/>
      <c r="I96" s="105"/>
      <c r="J96" s="106"/>
    </row>
    <row r="97" spans="2:11" ht="14.25" thickBot="1">
      <c r="B97" s="65"/>
      <c r="C97" s="65"/>
      <c r="D97" s="65"/>
      <c r="E97" s="65"/>
      <c r="F97" s="65"/>
      <c r="G97" s="65"/>
      <c r="H97" s="65"/>
      <c r="I97" s="65"/>
      <c r="J97" s="66"/>
      <c r="K97" s="66"/>
    </row>
    <row r="98" spans="1:11" s="18" customFormat="1" ht="13.5">
      <c r="A98" s="17"/>
      <c r="B98" s="7"/>
      <c r="C98" s="5"/>
      <c r="D98" s="5"/>
      <c r="E98" s="5"/>
      <c r="F98" s="5"/>
      <c r="G98" s="5"/>
      <c r="H98" s="5"/>
      <c r="I98" s="21"/>
      <c r="J98" s="21"/>
      <c r="K98" s="24"/>
    </row>
    <row r="99" spans="2:11" ht="18" customHeight="1">
      <c r="B99" s="7"/>
      <c r="C99" s="5"/>
      <c r="D99" s="9" t="s">
        <v>4</v>
      </c>
      <c r="E99" s="75">
        <v>1000</v>
      </c>
      <c r="F99" s="5"/>
      <c r="G99" s="9" t="s">
        <v>2</v>
      </c>
      <c r="H99" s="75">
        <v>4000</v>
      </c>
      <c r="I99" s="58" t="s">
        <v>36</v>
      </c>
      <c r="J99" s="56"/>
      <c r="K99" s="57"/>
    </row>
    <row r="100" spans="2:11" ht="17.25">
      <c r="B100" s="7"/>
      <c r="C100" s="5"/>
      <c r="D100" s="9"/>
      <c r="E100" s="9"/>
      <c r="F100" s="5"/>
      <c r="G100" s="9" t="s">
        <v>3</v>
      </c>
      <c r="H100" s="30">
        <f>((E99/H99*144)/PI())^0.5*2</f>
        <v>6.770275002573076</v>
      </c>
      <c r="I100" s="193"/>
      <c r="J100" s="194"/>
      <c r="K100" s="195"/>
    </row>
    <row r="101" spans="2:11" ht="17.25">
      <c r="B101" s="7"/>
      <c r="C101" s="5"/>
      <c r="D101" s="9"/>
      <c r="E101" s="9"/>
      <c r="F101" s="5"/>
      <c r="G101" s="49" t="s">
        <v>27</v>
      </c>
      <c r="H101" s="50">
        <f>((E99/3800*144)/PI())^0.5*2</f>
        <v>6.946155590303236</v>
      </c>
      <c r="I101" s="193"/>
      <c r="J101" s="194"/>
      <c r="K101" s="195"/>
    </row>
    <row r="102" spans="2:11" ht="17.25">
      <c r="B102" s="7"/>
      <c r="C102" s="5"/>
      <c r="D102" s="9"/>
      <c r="E102" s="9"/>
      <c r="F102" s="5"/>
      <c r="G102" s="49" t="s">
        <v>28</v>
      </c>
      <c r="H102" s="50">
        <f>((E99/2800*144)/PI())^0.5*2</f>
        <v>8.092026376136825</v>
      </c>
      <c r="I102" s="193"/>
      <c r="J102" s="194"/>
      <c r="K102" s="195"/>
    </row>
    <row r="103" spans="2:11" ht="13.5">
      <c r="B103" s="6" t="s">
        <v>17</v>
      </c>
      <c r="C103" s="52"/>
      <c r="D103" s="5"/>
      <c r="E103" s="5"/>
      <c r="F103" s="5"/>
      <c r="G103" s="5"/>
      <c r="H103" s="5"/>
      <c r="I103" s="31"/>
      <c r="J103" s="31"/>
      <c r="K103" s="32"/>
    </row>
    <row r="104" spans="2:11" ht="17.25">
      <c r="B104" s="169" t="s">
        <v>39</v>
      </c>
      <c r="C104" s="171"/>
      <c r="D104" s="16">
        <v>3.5</v>
      </c>
      <c r="E104" s="29">
        <v>4</v>
      </c>
      <c r="F104" s="16">
        <v>5</v>
      </c>
      <c r="G104" s="29">
        <v>6</v>
      </c>
      <c r="H104" s="16">
        <v>7</v>
      </c>
      <c r="I104" s="29">
        <v>8</v>
      </c>
      <c r="J104" s="16">
        <v>10</v>
      </c>
      <c r="K104" s="23">
        <v>12</v>
      </c>
    </row>
    <row r="105" spans="2:11" ht="15">
      <c r="B105" s="169" t="s">
        <v>30</v>
      </c>
      <c r="C105" s="171"/>
      <c r="D105" s="68">
        <f aca="true" t="shared" si="0" ref="D105:K105">4*144*$E$99/(PI()*D104*D104)</f>
        <v>14967.060770764363</v>
      </c>
      <c r="E105" s="68">
        <f t="shared" si="0"/>
        <v>11459.155902616465</v>
      </c>
      <c r="F105" s="68">
        <f t="shared" si="0"/>
        <v>7333.859777674537</v>
      </c>
      <c r="G105" s="68">
        <f t="shared" si="0"/>
        <v>5092.958178940651</v>
      </c>
      <c r="H105" s="68">
        <f t="shared" si="0"/>
        <v>3741.7651926910908</v>
      </c>
      <c r="I105" s="68">
        <f t="shared" si="0"/>
        <v>2864.7889756541163</v>
      </c>
      <c r="J105" s="68">
        <f t="shared" si="0"/>
        <v>1833.4649444186343</v>
      </c>
      <c r="K105" s="69">
        <f t="shared" si="0"/>
        <v>1273.2395447351628</v>
      </c>
    </row>
    <row r="106" spans="2:11" ht="15">
      <c r="B106" s="169" t="s">
        <v>40</v>
      </c>
      <c r="C106" s="171"/>
      <c r="D106" s="70" t="str">
        <f aca="true" t="shared" si="1" ref="D106:K106">IF(D105&lt;3800,"LOW","OK")</f>
        <v>OK</v>
      </c>
      <c r="E106" s="70" t="str">
        <f t="shared" si="1"/>
        <v>OK</v>
      </c>
      <c r="F106" s="70" t="str">
        <f t="shared" si="1"/>
        <v>OK</v>
      </c>
      <c r="G106" s="70" t="str">
        <f t="shared" si="1"/>
        <v>OK</v>
      </c>
      <c r="H106" s="70" t="str">
        <f t="shared" si="1"/>
        <v>LOW</v>
      </c>
      <c r="I106" s="70" t="str">
        <f t="shared" si="1"/>
        <v>LOW</v>
      </c>
      <c r="J106" s="70" t="str">
        <f t="shared" si="1"/>
        <v>LOW</v>
      </c>
      <c r="K106" s="72" t="str">
        <f t="shared" si="1"/>
        <v>LOW</v>
      </c>
    </row>
    <row r="107" spans="2:11" ht="13.5">
      <c r="B107" s="71"/>
      <c r="C107" s="54"/>
      <c r="D107" s="22"/>
      <c r="E107" s="22"/>
      <c r="F107" s="22"/>
      <c r="G107" s="22"/>
      <c r="H107" s="22"/>
      <c r="I107" s="22"/>
      <c r="J107" s="22"/>
      <c r="K107" s="86"/>
    </row>
    <row r="108" spans="2:11" ht="17.25">
      <c r="B108" s="7"/>
      <c r="C108" s="67" t="s">
        <v>59</v>
      </c>
      <c r="D108" s="4"/>
      <c r="E108" s="4"/>
      <c r="F108" s="4"/>
      <c r="G108" s="4"/>
      <c r="H108" s="4"/>
      <c r="I108" s="21"/>
      <c r="J108" s="21"/>
      <c r="K108" s="24"/>
    </row>
    <row r="109" spans="2:11" ht="17.25">
      <c r="B109" s="7"/>
      <c r="C109" s="67" t="s">
        <v>76</v>
      </c>
      <c r="D109" s="3"/>
      <c r="E109" s="3"/>
      <c r="F109" s="3"/>
      <c r="G109" s="3">
        <v>1</v>
      </c>
      <c r="H109" s="3"/>
      <c r="I109" s="31"/>
      <c r="J109" s="31"/>
      <c r="K109" s="32"/>
    </row>
    <row r="110" spans="2:11" ht="17.25">
      <c r="B110" s="7"/>
      <c r="C110" s="67" t="s">
        <v>51</v>
      </c>
      <c r="D110" s="4"/>
      <c r="E110" s="4"/>
      <c r="F110" s="4"/>
      <c r="G110" s="4"/>
      <c r="H110" s="4"/>
      <c r="I110" s="4"/>
      <c r="J110" s="4"/>
      <c r="K110" s="73"/>
    </row>
    <row r="111" spans="2:11" ht="17.25">
      <c r="B111" s="7"/>
      <c r="C111" s="67" t="s">
        <v>52</v>
      </c>
      <c r="D111" s="4"/>
      <c r="E111" s="4"/>
      <c r="F111" s="4"/>
      <c r="G111" s="4">
        <v>1.5</v>
      </c>
      <c r="H111" s="4"/>
      <c r="I111" s="4"/>
      <c r="J111" s="4"/>
      <c r="K111" s="73"/>
    </row>
    <row r="112" spans="2:11" ht="17.25">
      <c r="B112" s="7"/>
      <c r="C112" s="67" t="s">
        <v>53</v>
      </c>
      <c r="D112" s="4"/>
      <c r="E112" s="4"/>
      <c r="F112" s="4"/>
      <c r="G112" s="4"/>
      <c r="H112" s="4"/>
      <c r="I112" s="4"/>
      <c r="J112" s="4"/>
      <c r="K112" s="73"/>
    </row>
    <row r="113" spans="2:11" ht="17.25">
      <c r="B113" s="7"/>
      <c r="C113" s="67" t="s">
        <v>54</v>
      </c>
      <c r="D113" s="4"/>
      <c r="E113" s="4"/>
      <c r="F113" s="4"/>
      <c r="G113" s="4">
        <v>1</v>
      </c>
      <c r="H113" s="4"/>
      <c r="I113" s="4"/>
      <c r="J113" s="4"/>
      <c r="K113" s="73"/>
    </row>
    <row r="114" spans="2:11" ht="17.25">
      <c r="B114" s="169" t="s">
        <v>99</v>
      </c>
      <c r="C114" s="170"/>
      <c r="D114" s="4"/>
      <c r="E114" s="4"/>
      <c r="F114" s="4"/>
      <c r="G114" s="4">
        <v>23</v>
      </c>
      <c r="H114" s="4"/>
      <c r="I114" s="4"/>
      <c r="J114" s="4"/>
      <c r="K114" s="73"/>
    </row>
    <row r="115" spans="2:11" ht="13.5">
      <c r="B115" s="71"/>
      <c r="C115" s="54"/>
      <c r="D115" s="85"/>
      <c r="E115" s="22"/>
      <c r="F115" s="22"/>
      <c r="G115" s="22"/>
      <c r="H115" s="22"/>
      <c r="I115" s="22"/>
      <c r="J115" s="22"/>
      <c r="K115" s="25"/>
    </row>
    <row r="116" spans="2:11" ht="17.25">
      <c r="B116" s="55"/>
      <c r="C116" s="82" t="s">
        <v>64</v>
      </c>
      <c r="D116" s="4"/>
      <c r="E116" s="4"/>
      <c r="F116" s="4"/>
      <c r="G116" s="4">
        <v>1</v>
      </c>
      <c r="H116" s="4"/>
      <c r="I116" s="22"/>
      <c r="J116" s="22"/>
      <c r="K116" s="25"/>
    </row>
    <row r="117" spans="2:11" ht="17.25">
      <c r="B117" s="169" t="s">
        <v>42</v>
      </c>
      <c r="C117" s="170"/>
      <c r="D117" s="4"/>
      <c r="E117" s="4"/>
      <c r="F117" s="4"/>
      <c r="G117" s="4">
        <v>2</v>
      </c>
      <c r="H117" s="4"/>
      <c r="I117" s="22">
        <v>0</v>
      </c>
      <c r="J117" s="22"/>
      <c r="K117" s="25"/>
    </row>
    <row r="118" spans="2:11" ht="13.5">
      <c r="B118" s="71"/>
      <c r="C118" s="54"/>
      <c r="D118" s="84" t="s">
        <v>75</v>
      </c>
      <c r="E118" s="22"/>
      <c r="F118" s="22"/>
      <c r="G118" s="22"/>
      <c r="H118" s="22"/>
      <c r="I118" s="22"/>
      <c r="J118" s="22"/>
      <c r="K118" s="25"/>
    </row>
    <row r="119" spans="2:11" ht="18" customHeight="1">
      <c r="B119" s="55"/>
      <c r="C119" s="67"/>
      <c r="D119" s="22"/>
      <c r="E119" s="22"/>
      <c r="F119" s="22"/>
      <c r="G119" s="22"/>
      <c r="H119" s="22"/>
      <c r="I119" s="22"/>
      <c r="J119" s="22"/>
      <c r="K119" s="25"/>
    </row>
    <row r="120" spans="2:11" ht="18" customHeight="1">
      <c r="B120" s="6" t="s">
        <v>70</v>
      </c>
      <c r="C120" s="5"/>
      <c r="D120" s="5"/>
      <c r="E120" s="51"/>
      <c r="F120" s="51"/>
      <c r="G120" s="51"/>
      <c r="H120" s="22"/>
      <c r="I120" s="22"/>
      <c r="J120" s="22"/>
      <c r="K120" s="25"/>
    </row>
    <row r="121" spans="2:11" ht="17.25">
      <c r="B121" s="7"/>
      <c r="C121" s="67" t="s">
        <v>66</v>
      </c>
      <c r="D121" s="4"/>
      <c r="E121" s="51" t="s">
        <v>23</v>
      </c>
      <c r="F121" s="51"/>
      <c r="G121" s="51"/>
      <c r="H121" s="22"/>
      <c r="I121" s="22"/>
      <c r="J121" s="22"/>
      <c r="K121" s="25"/>
    </row>
    <row r="122" spans="2:11" ht="18" customHeight="1">
      <c r="B122" s="7"/>
      <c r="C122" s="67" t="s">
        <v>67</v>
      </c>
      <c r="D122" s="4">
        <v>2.25</v>
      </c>
      <c r="E122" s="193" t="s">
        <v>74</v>
      </c>
      <c r="F122" s="199"/>
      <c r="G122" s="199"/>
      <c r="H122" s="199"/>
      <c r="I122" s="199"/>
      <c r="J122" s="199"/>
      <c r="K122" s="200"/>
    </row>
    <row r="123" spans="2:11" ht="36" customHeight="1">
      <c r="B123" s="7"/>
      <c r="C123" s="67" t="s">
        <v>68</v>
      </c>
      <c r="D123" s="4">
        <v>0.5</v>
      </c>
      <c r="E123" s="193" t="s">
        <v>37</v>
      </c>
      <c r="F123" s="199"/>
      <c r="G123" s="199"/>
      <c r="H123" s="199"/>
      <c r="I123" s="199"/>
      <c r="J123" s="199"/>
      <c r="K123" s="200"/>
    </row>
    <row r="124" spans="2:11" ht="18" customHeight="1">
      <c r="B124" s="7"/>
      <c r="C124" s="67" t="s">
        <v>69</v>
      </c>
      <c r="D124" s="4">
        <v>0.15</v>
      </c>
      <c r="E124" s="201" t="s">
        <v>38</v>
      </c>
      <c r="F124" s="202"/>
      <c r="G124" s="202"/>
      <c r="H124" s="202"/>
      <c r="I124" s="202"/>
      <c r="J124" s="202"/>
      <c r="K124" s="203"/>
    </row>
    <row r="125" spans="2:11" ht="13.5">
      <c r="B125" s="7"/>
      <c r="C125" s="67"/>
      <c r="D125" s="84" t="s">
        <v>72</v>
      </c>
      <c r="E125" s="84"/>
      <c r="F125" s="51"/>
      <c r="G125" s="51"/>
      <c r="H125" s="51"/>
      <c r="I125" s="51"/>
      <c r="J125" s="51"/>
      <c r="K125" s="83"/>
    </row>
    <row r="126" spans="2:11" ht="13.5">
      <c r="B126" s="7"/>
      <c r="C126" s="67"/>
      <c r="D126" s="84" t="s">
        <v>73</v>
      </c>
      <c r="E126" s="84"/>
      <c r="F126" s="51"/>
      <c r="G126" s="51"/>
      <c r="H126" s="51"/>
      <c r="I126" s="51"/>
      <c r="J126" s="51"/>
      <c r="K126" s="83"/>
    </row>
    <row r="127" spans="2:11" ht="13.5">
      <c r="B127" s="7"/>
      <c r="C127" s="67"/>
      <c r="D127" s="84"/>
      <c r="E127" s="84"/>
      <c r="F127" s="51"/>
      <c r="G127" s="51"/>
      <c r="H127" s="51"/>
      <c r="I127" s="51"/>
      <c r="J127" s="51"/>
      <c r="K127" s="83"/>
    </row>
    <row r="128" spans="2:11" ht="13.5">
      <c r="B128" s="6" t="s">
        <v>71</v>
      </c>
      <c r="C128" s="67"/>
      <c r="D128" s="51"/>
      <c r="E128" s="84"/>
      <c r="F128" s="51"/>
      <c r="G128" s="51"/>
      <c r="H128" s="51"/>
      <c r="I128" s="51"/>
      <c r="J128" s="51"/>
      <c r="K128" s="83"/>
    </row>
    <row r="129" spans="2:11" ht="17.25">
      <c r="B129" s="7"/>
      <c r="C129" s="5"/>
      <c r="D129" s="4">
        <v>2</v>
      </c>
      <c r="E129" s="201" t="s">
        <v>29</v>
      </c>
      <c r="F129" s="202"/>
      <c r="G129" s="202"/>
      <c r="H129" s="202"/>
      <c r="I129" s="202"/>
      <c r="J129" s="202"/>
      <c r="K129" s="203"/>
    </row>
    <row r="130" spans="2:11" ht="13.5">
      <c r="B130" s="204"/>
      <c r="C130" s="205"/>
      <c r="D130" s="205"/>
      <c r="E130" s="205"/>
      <c r="F130" s="205"/>
      <c r="G130" s="205"/>
      <c r="H130" s="205"/>
      <c r="I130" s="205"/>
      <c r="J130" s="205"/>
      <c r="K130" s="206"/>
    </row>
    <row r="131" spans="2:11" ht="17.25">
      <c r="B131" s="7"/>
      <c r="C131" s="5"/>
      <c r="D131" s="9" t="s">
        <v>98</v>
      </c>
      <c r="E131" s="74">
        <f>SUM(D143:K143)+SUM(D121:D129)</f>
        <v>9.856753970581112</v>
      </c>
      <c r="F131" s="8" t="s">
        <v>15</v>
      </c>
      <c r="G131" s="194" t="s">
        <v>41</v>
      </c>
      <c r="H131" s="199"/>
      <c r="I131" s="199"/>
      <c r="J131" s="199"/>
      <c r="K131" s="200"/>
    </row>
    <row r="132" spans="2:11" ht="13.5">
      <c r="B132" s="7"/>
      <c r="C132" s="5"/>
      <c r="D132" s="5"/>
      <c r="E132" s="5"/>
      <c r="F132" s="5"/>
      <c r="G132" s="19"/>
      <c r="H132" s="19"/>
      <c r="I132" s="19"/>
      <c r="J132" s="19"/>
      <c r="K132" s="20"/>
    </row>
    <row r="133" spans="2:11" ht="13.5">
      <c r="B133" s="6" t="s">
        <v>13</v>
      </c>
      <c r="C133" s="5"/>
      <c r="D133" s="52" t="s">
        <v>1</v>
      </c>
      <c r="E133" s="52" t="s">
        <v>9</v>
      </c>
      <c r="F133" s="52" t="s">
        <v>10</v>
      </c>
      <c r="G133" s="52" t="s">
        <v>20</v>
      </c>
      <c r="H133" s="52" t="s">
        <v>21</v>
      </c>
      <c r="I133" s="52" t="s">
        <v>22</v>
      </c>
      <c r="J133" s="52" t="s">
        <v>24</v>
      </c>
      <c r="K133" s="53" t="s">
        <v>25</v>
      </c>
    </row>
    <row r="134" spans="2:11" ht="13.5">
      <c r="B134" s="7"/>
      <c r="C134" s="67" t="s">
        <v>59</v>
      </c>
      <c r="D134" s="10">
        <f aca="true" t="shared" si="2" ref="D134:H140">D108*D190</f>
        <v>0</v>
      </c>
      <c r="E134" s="10">
        <f t="shared" si="2"/>
        <v>0</v>
      </c>
      <c r="F134" s="10">
        <f t="shared" si="2"/>
        <v>0</v>
      </c>
      <c r="G134" s="10">
        <f t="shared" si="2"/>
        <v>0</v>
      </c>
      <c r="H134" s="10">
        <f t="shared" si="2"/>
        <v>0</v>
      </c>
      <c r="I134" s="10"/>
      <c r="J134" s="10"/>
      <c r="K134" s="11"/>
    </row>
    <row r="135" spans="2:11" ht="13.5">
      <c r="B135" s="7"/>
      <c r="C135" s="67" t="s">
        <v>76</v>
      </c>
      <c r="D135" s="10">
        <f t="shared" si="2"/>
        <v>0</v>
      </c>
      <c r="E135" s="10">
        <f t="shared" si="2"/>
        <v>0</v>
      </c>
      <c r="F135" s="10">
        <f t="shared" si="2"/>
        <v>0</v>
      </c>
      <c r="G135" s="10">
        <f t="shared" si="2"/>
        <v>0.45252382469696667</v>
      </c>
      <c r="H135" s="10">
        <f t="shared" si="2"/>
        <v>0</v>
      </c>
      <c r="I135" s="10"/>
      <c r="J135" s="10"/>
      <c r="K135" s="11"/>
    </row>
    <row r="136" spans="2:11" ht="13.5">
      <c r="B136" s="7"/>
      <c r="C136" s="67" t="s">
        <v>51</v>
      </c>
      <c r="D136" s="10">
        <f t="shared" si="2"/>
        <v>0</v>
      </c>
      <c r="E136" s="10">
        <f t="shared" si="2"/>
        <v>0</v>
      </c>
      <c r="F136" s="10">
        <f t="shared" si="2"/>
        <v>0</v>
      </c>
      <c r="G136" s="10">
        <f t="shared" si="2"/>
        <v>0</v>
      </c>
      <c r="H136" s="10">
        <f t="shared" si="2"/>
        <v>0</v>
      </c>
      <c r="I136" s="10">
        <f aca="true" t="shared" si="3" ref="I136:K140">I110*I192</f>
        <v>0</v>
      </c>
      <c r="J136" s="10">
        <f t="shared" si="3"/>
        <v>0</v>
      </c>
      <c r="K136" s="11">
        <f t="shared" si="3"/>
        <v>0</v>
      </c>
    </row>
    <row r="137" spans="2:11" ht="13.5">
      <c r="B137" s="7"/>
      <c r="C137" s="67" t="s">
        <v>52</v>
      </c>
      <c r="D137" s="10">
        <f t="shared" si="2"/>
        <v>0</v>
      </c>
      <c r="E137" s="10">
        <f t="shared" si="2"/>
        <v>0</v>
      </c>
      <c r="F137" s="10">
        <f t="shared" si="2"/>
        <v>0</v>
      </c>
      <c r="G137" s="10">
        <f t="shared" si="2"/>
        <v>0.7471986425521233</v>
      </c>
      <c r="H137" s="10">
        <f t="shared" si="2"/>
        <v>0</v>
      </c>
      <c r="I137" s="10">
        <f t="shared" si="3"/>
        <v>0</v>
      </c>
      <c r="J137" s="10">
        <f t="shared" si="3"/>
        <v>0</v>
      </c>
      <c r="K137" s="11">
        <f t="shared" si="3"/>
        <v>0</v>
      </c>
    </row>
    <row r="138" spans="2:11" ht="13.5">
      <c r="B138" s="7"/>
      <c r="C138" s="67" t="s">
        <v>53</v>
      </c>
      <c r="D138" s="10">
        <f t="shared" si="2"/>
        <v>0</v>
      </c>
      <c r="E138" s="10">
        <f t="shared" si="2"/>
        <v>0</v>
      </c>
      <c r="F138" s="10">
        <f t="shared" si="2"/>
        <v>0</v>
      </c>
      <c r="G138" s="10">
        <f t="shared" si="2"/>
        <v>0</v>
      </c>
      <c r="H138" s="10">
        <f t="shared" si="2"/>
        <v>0</v>
      </c>
      <c r="I138" s="10">
        <f t="shared" si="3"/>
        <v>0</v>
      </c>
      <c r="J138" s="10">
        <f t="shared" si="3"/>
        <v>0</v>
      </c>
      <c r="K138" s="11">
        <f t="shared" si="3"/>
        <v>0</v>
      </c>
    </row>
    <row r="139" spans="2:11" ht="13.5">
      <c r="B139" s="7"/>
      <c r="C139" s="67" t="s">
        <v>54</v>
      </c>
      <c r="D139" s="10">
        <f t="shared" si="2"/>
        <v>0</v>
      </c>
      <c r="E139" s="10">
        <f t="shared" si="2"/>
        <v>0</v>
      </c>
      <c r="F139" s="10">
        <f t="shared" si="2"/>
        <v>0</v>
      </c>
      <c r="G139" s="10">
        <f t="shared" si="2"/>
        <v>0.5225639916122934</v>
      </c>
      <c r="H139" s="10">
        <f t="shared" si="2"/>
        <v>0</v>
      </c>
      <c r="I139" s="10">
        <f t="shared" si="3"/>
        <v>0</v>
      </c>
      <c r="J139" s="10">
        <f t="shared" si="3"/>
        <v>0</v>
      </c>
      <c r="K139" s="11">
        <f t="shared" si="3"/>
        <v>0</v>
      </c>
    </row>
    <row r="140" spans="2:11" ht="13.5">
      <c r="B140" s="7"/>
      <c r="C140" s="67" t="s">
        <v>100</v>
      </c>
      <c r="D140" s="10">
        <f t="shared" si="2"/>
        <v>0</v>
      </c>
      <c r="E140" s="10">
        <f t="shared" si="2"/>
        <v>0</v>
      </c>
      <c r="F140" s="10">
        <f t="shared" si="2"/>
        <v>0</v>
      </c>
      <c r="G140" s="10">
        <f t="shared" si="2"/>
        <v>1.5609054294912659</v>
      </c>
      <c r="H140" s="10">
        <f t="shared" si="2"/>
        <v>0</v>
      </c>
      <c r="I140" s="10">
        <f t="shared" si="3"/>
        <v>0</v>
      </c>
      <c r="J140" s="10">
        <f t="shared" si="3"/>
        <v>0</v>
      </c>
      <c r="K140" s="11">
        <f t="shared" si="3"/>
        <v>0</v>
      </c>
    </row>
    <row r="141" spans="2:11" ht="13.5">
      <c r="B141" s="7"/>
      <c r="C141" s="67" t="s">
        <v>44</v>
      </c>
      <c r="D141" s="10">
        <f aca="true" t="shared" si="4" ref="D141:H142">D116*D197</f>
        <v>0</v>
      </c>
      <c r="E141" s="10">
        <f t="shared" si="4"/>
        <v>0</v>
      </c>
      <c r="F141" s="10">
        <f t="shared" si="4"/>
        <v>0</v>
      </c>
      <c r="G141" s="10">
        <f t="shared" si="4"/>
        <v>1.2663693614916096</v>
      </c>
      <c r="H141" s="10">
        <f t="shared" si="4"/>
        <v>0</v>
      </c>
      <c r="I141" s="10"/>
      <c r="J141" s="10"/>
      <c r="K141" s="11"/>
    </row>
    <row r="142" spans="2:11" ht="13.5">
      <c r="B142" s="7"/>
      <c r="C142" s="67" t="s">
        <v>43</v>
      </c>
      <c r="D142" s="26">
        <f t="shared" si="4"/>
        <v>0</v>
      </c>
      <c r="E142" s="26">
        <f t="shared" si="4"/>
        <v>0</v>
      </c>
      <c r="F142" s="26">
        <f t="shared" si="4"/>
        <v>0</v>
      </c>
      <c r="G142" s="26">
        <f t="shared" si="4"/>
        <v>0.407192720736852</v>
      </c>
      <c r="H142" s="26">
        <f t="shared" si="4"/>
        <v>0</v>
      </c>
      <c r="I142" s="26"/>
      <c r="J142" s="26"/>
      <c r="K142" s="27"/>
    </row>
    <row r="143" spans="2:11" ht="13.5">
      <c r="B143" s="7"/>
      <c r="C143" s="54" t="s">
        <v>14</v>
      </c>
      <c r="D143" s="10">
        <f aca="true" t="shared" si="5" ref="D143:K143">SUM(D134:D142)</f>
        <v>0</v>
      </c>
      <c r="E143" s="10">
        <f t="shared" si="5"/>
        <v>0</v>
      </c>
      <c r="F143" s="10">
        <f t="shared" si="5"/>
        <v>0</v>
      </c>
      <c r="G143" s="10">
        <f t="shared" si="5"/>
        <v>4.9567539705811114</v>
      </c>
      <c r="H143" s="10">
        <f t="shared" si="5"/>
        <v>0</v>
      </c>
      <c r="I143" s="10">
        <f t="shared" si="5"/>
        <v>0</v>
      </c>
      <c r="J143" s="10">
        <f t="shared" si="5"/>
        <v>0</v>
      </c>
      <c r="K143" s="11">
        <f t="shared" si="5"/>
        <v>0</v>
      </c>
    </row>
    <row r="144" spans="2:11" ht="14.25" thickBot="1">
      <c r="B144" s="196"/>
      <c r="C144" s="197"/>
      <c r="D144" s="197"/>
      <c r="E144" s="197"/>
      <c r="F144" s="197"/>
      <c r="G144" s="197"/>
      <c r="H144" s="197"/>
      <c r="I144" s="197"/>
      <c r="J144" s="197"/>
      <c r="K144" s="198"/>
    </row>
    <row r="184" spans="2:11" ht="43.5" customHeight="1">
      <c r="B184" s="122" t="s">
        <v>113</v>
      </c>
      <c r="C184" s="122"/>
      <c r="D184" s="122"/>
      <c r="E184" s="122"/>
      <c r="F184" s="122"/>
      <c r="G184" s="122"/>
      <c r="H184" s="122"/>
      <c r="I184" s="122"/>
      <c r="J184" s="122"/>
      <c r="K184" s="122"/>
    </row>
    <row r="185" spans="2:11" ht="44.25" customHeight="1">
      <c r="B185" s="131" t="s">
        <v>112</v>
      </c>
      <c r="C185" s="131"/>
      <c r="D185" s="131"/>
      <c r="E185" s="131"/>
      <c r="F185" s="131"/>
      <c r="G185" s="131"/>
      <c r="H185" s="131"/>
      <c r="I185" s="131"/>
      <c r="J185" s="131"/>
      <c r="K185" s="131"/>
    </row>
    <row r="186" spans="2:11" ht="53.25" customHeight="1">
      <c r="B186" s="132" t="s">
        <v>126</v>
      </c>
      <c r="C186" s="132"/>
      <c r="D186" s="132"/>
      <c r="E186" s="132"/>
      <c r="F186" s="132"/>
      <c r="G186" s="132"/>
      <c r="H186" s="132"/>
      <c r="I186" s="132"/>
      <c r="J186" s="132"/>
      <c r="K186" s="132"/>
    </row>
    <row r="189" spans="2:11" ht="13.5">
      <c r="B189" s="17"/>
      <c r="C189" s="1" t="s">
        <v>26</v>
      </c>
      <c r="D189" s="2">
        <v>3.5</v>
      </c>
      <c r="E189" s="2">
        <v>4</v>
      </c>
      <c r="F189" s="2">
        <v>5</v>
      </c>
      <c r="G189" s="2">
        <v>6</v>
      </c>
      <c r="H189" s="2">
        <v>7</v>
      </c>
      <c r="I189" s="2">
        <v>8</v>
      </c>
      <c r="J189" s="2">
        <v>10</v>
      </c>
      <c r="K189" s="2">
        <v>12</v>
      </c>
    </row>
    <row r="190" spans="2:11" ht="13.5">
      <c r="B190" s="17"/>
      <c r="C190" s="79" t="s">
        <v>60</v>
      </c>
      <c r="D190" s="14">
        <f>0.5*D200+5*D196</f>
        <v>12.061212920977965</v>
      </c>
      <c r="E190" s="14">
        <f>0.5*E200+5*E196</f>
        <v>6.691015538971595</v>
      </c>
      <c r="F190" s="14">
        <f>0.5*F200+5*F196</f>
        <v>2.5240420524430274</v>
      </c>
      <c r="G190" s="14">
        <f>0.5*G200+5*G196</f>
        <v>1.147874105968258</v>
      </c>
      <c r="H190" s="14">
        <f>0.5*H200+5*H196</f>
        <v>0.5929448093725134</v>
      </c>
      <c r="I190" s="14"/>
      <c r="J190" s="14"/>
      <c r="K190" s="14"/>
    </row>
    <row r="191" spans="2:11" ht="13.5">
      <c r="B191" s="17"/>
      <c r="C191" s="79" t="s">
        <v>77</v>
      </c>
      <c r="D191" s="14">
        <f>0.07*D200+5*D196</f>
        <v>6.0558887092155755</v>
      </c>
      <c r="E191" s="14">
        <f>0.07*E200+5*E196</f>
        <v>3.1708047400356825</v>
      </c>
      <c r="F191" s="14">
        <f>0.07*F200+5*F196</f>
        <v>1.0821637091988778</v>
      </c>
      <c r="G191" s="14">
        <f>0.07*G200+5*G196</f>
        <v>0.45252382469696667</v>
      </c>
      <c r="H191" s="14">
        <f>0.07*H200+5*H196</f>
        <v>0.21761204613736407</v>
      </c>
      <c r="I191" s="14"/>
      <c r="J191" s="14"/>
      <c r="K191" s="14"/>
    </row>
    <row r="192" spans="2:11" ht="13.5">
      <c r="B192" s="17"/>
      <c r="C192" s="81" t="s">
        <v>55</v>
      </c>
      <c r="D192" s="14">
        <f>D196*(2.24*D189-2.25)</f>
        <v>5.677514570362259</v>
      </c>
      <c r="E192" s="14">
        <f aca="true" t="shared" si="6" ref="E192:K192">E196*(2.24*E189-2.25)</f>
        <v>3.486176699611515</v>
      </c>
      <c r="F192" s="14">
        <f t="shared" si="6"/>
        <v>1.5169163966555452</v>
      </c>
      <c r="G192" s="14">
        <f t="shared" si="6"/>
        <v>0.759414424174229</v>
      </c>
      <c r="H192" s="14">
        <f t="shared" si="6"/>
        <v>0.4203895230331628</v>
      </c>
      <c r="I192" s="14">
        <f t="shared" si="6"/>
        <v>0.2509142311387378</v>
      </c>
      <c r="J192" s="14">
        <f t="shared" si="6"/>
        <v>0.10525508411778264</v>
      </c>
      <c r="K192" s="14">
        <f t="shared" si="6"/>
        <v>0.05151605389383125</v>
      </c>
    </row>
    <row r="193" spans="2:11" ht="13.5">
      <c r="B193" s="17"/>
      <c r="C193" s="81" t="s">
        <v>62</v>
      </c>
      <c r="D193" s="14">
        <f>D196*(1.58*D189-2.14)</f>
        <v>3.4430723423127114</v>
      </c>
      <c r="E193" s="14">
        <f aca="true" t="shared" si="7" ref="E193:K193">E196*(1.58*E189-2.14)</f>
        <v>2.171716632544878</v>
      </c>
      <c r="F193" s="14">
        <f t="shared" si="7"/>
        <v>0.9762501055570882</v>
      </c>
      <c r="G193" s="14">
        <f t="shared" si="7"/>
        <v>0.4981324283680822</v>
      </c>
      <c r="H193" s="14">
        <f t="shared" si="7"/>
        <v>0.27921627293044016</v>
      </c>
      <c r="I193" s="14">
        <f t="shared" si="7"/>
        <v>0.1681301484975588</v>
      </c>
      <c r="J193" s="14">
        <f t="shared" si="7"/>
        <v>0.07135406695031815</v>
      </c>
      <c r="K193" s="14">
        <f t="shared" si="7"/>
        <v>0.035180675050517314</v>
      </c>
    </row>
    <row r="194" spans="2:11" ht="13.5">
      <c r="B194" s="17"/>
      <c r="C194" s="81" t="s">
        <v>63</v>
      </c>
      <c r="D194" s="14">
        <f>D196*(1.21*D189-1.04)</f>
        <v>3.2450195084628644</v>
      </c>
      <c r="E194" s="14">
        <f aca="true" t="shared" si="8" ref="E194:K194">E196*(1.21*E189-1.04)</f>
        <v>1.9742878477680708</v>
      </c>
      <c r="F194" s="14">
        <f t="shared" si="8"/>
        <v>0.849134206396009</v>
      </c>
      <c r="G194" s="14">
        <f t="shared" si="8"/>
        <v>0.4221231204972032</v>
      </c>
      <c r="H194" s="14">
        <f t="shared" si="8"/>
        <v>0.23257588653286662</v>
      </c>
      <c r="I194" s="14">
        <f t="shared" si="8"/>
        <v>0.13834709362084838</v>
      </c>
      <c r="J194" s="14">
        <f t="shared" si="8"/>
        <v>0.05777276577383006</v>
      </c>
      <c r="K194" s="14">
        <f t="shared" si="8"/>
        <v>0.028194738387691643</v>
      </c>
    </row>
    <row r="195" spans="2:11" ht="13.5">
      <c r="B195" s="17"/>
      <c r="C195" s="78" t="s">
        <v>11</v>
      </c>
      <c r="D195" s="14">
        <f>D196*(1.55*D189-1.6)</f>
        <v>3.884882510131599</v>
      </c>
      <c r="E195" s="14">
        <f>E196*(1.55*E189-1.6)</f>
        <v>2.389927394666612</v>
      </c>
      <c r="F195" s="14">
        <f aca="true" t="shared" si="9" ref="F195:K195">F196*(1.55*F189-1.6)</f>
        <v>1.0423503731208494</v>
      </c>
      <c r="G195" s="14">
        <f t="shared" si="9"/>
        <v>0.5225639916122934</v>
      </c>
      <c r="H195" s="14">
        <f t="shared" si="9"/>
        <v>0.28954602293795645</v>
      </c>
      <c r="I195" s="14">
        <f t="shared" si="9"/>
        <v>0.17293386702606048</v>
      </c>
      <c r="J195" s="14">
        <f t="shared" si="9"/>
        <v>0.07260772552045551</v>
      </c>
      <c r="K195" s="14">
        <f t="shared" si="9"/>
        <v>0.035557162655100734</v>
      </c>
    </row>
    <row r="196" spans="2:11" ht="13.5">
      <c r="B196" s="17"/>
      <c r="C196" s="79" t="s">
        <v>101</v>
      </c>
      <c r="D196" s="14">
        <f>((0.109136*$E$99^1.9)/(D$189^5.02))/100</f>
        <v>1.0156555582043396</v>
      </c>
      <c r="E196" s="14">
        <f>((0.109136*$E$99^1.9)/(E$189^5.02))/100</f>
        <v>0.5195494336231765</v>
      </c>
      <c r="F196" s="14">
        <f aca="true" t="shared" si="10" ref="F196:K196">((0.109136*$E$99^1.9)/(F$189^5.02))/100</f>
        <v>0.1694878655481056</v>
      </c>
      <c r="G196" s="14">
        <f t="shared" si="10"/>
        <v>0.06786545345614199</v>
      </c>
      <c r="H196" s="14">
        <f t="shared" si="10"/>
        <v>0.03130227275004935</v>
      </c>
      <c r="I196" s="14">
        <f t="shared" si="10"/>
        <v>0.0160123950950056</v>
      </c>
      <c r="J196" s="14">
        <f t="shared" si="10"/>
        <v>0.005223577375572339</v>
      </c>
      <c r="K196" s="14">
        <f t="shared" si="10"/>
        <v>0.00209159780324122</v>
      </c>
    </row>
    <row r="197" spans="2:11" ht="13.5">
      <c r="B197" s="17"/>
      <c r="C197" s="79" t="s">
        <v>61</v>
      </c>
      <c r="D197" s="14">
        <f>D198*(1.21*D189-1.04)</f>
        <v>9.735058525388594</v>
      </c>
      <c r="E197" s="14">
        <f>E198*(1.21*E189-1.04)</f>
        <v>5.922863543304212</v>
      </c>
      <c r="F197" s="14">
        <f>F198*(1.21*F189-1.04)</f>
        <v>2.5474026191880275</v>
      </c>
      <c r="G197" s="14">
        <f>G198*(1.21*G189-1.04)</f>
        <v>1.2663693614916096</v>
      </c>
      <c r="H197" s="14">
        <f>H198*(1.21*H189-1.04)</f>
        <v>0.6977276595985998</v>
      </c>
      <c r="I197" s="14"/>
      <c r="J197" s="14"/>
      <c r="K197" s="14"/>
    </row>
    <row r="198" spans="2:11" ht="13.5">
      <c r="B198" s="76"/>
      <c r="C198" s="79" t="s">
        <v>45</v>
      </c>
      <c r="D198" s="14">
        <f>D196*3</f>
        <v>3.046966674613019</v>
      </c>
      <c r="E198" s="14">
        <f>E196*3</f>
        <v>1.5586483008695295</v>
      </c>
      <c r="F198" s="14">
        <f>F196*3</f>
        <v>0.5084635966443168</v>
      </c>
      <c r="G198" s="14">
        <f>G196*3</f>
        <v>0.203596360368426</v>
      </c>
      <c r="H198" s="14">
        <f>H196*3</f>
        <v>0.09390681825014804</v>
      </c>
      <c r="I198" s="14"/>
      <c r="J198" s="14"/>
      <c r="K198" s="14"/>
    </row>
    <row r="199" spans="2:11" ht="13.5">
      <c r="B199" s="17"/>
      <c r="C199" s="78"/>
      <c r="D199" s="15"/>
      <c r="E199" s="15"/>
      <c r="F199" s="15"/>
      <c r="G199" s="15"/>
      <c r="H199" s="15"/>
      <c r="I199" s="15"/>
      <c r="J199" s="15"/>
      <c r="K199" s="15"/>
    </row>
    <row r="200" spans="2:11" ht="13.5">
      <c r="B200" s="17"/>
      <c r="C200" s="78" t="s">
        <v>12</v>
      </c>
      <c r="D200" s="14">
        <f aca="true" t="shared" si="11" ref="D200:K200">(D105/4005)^2</f>
        <v>13.965870259912533</v>
      </c>
      <c r="E200" s="14">
        <f t="shared" si="11"/>
        <v>8.186536741711425</v>
      </c>
      <c r="F200" s="14">
        <f t="shared" si="11"/>
        <v>3.3532054494049985</v>
      </c>
      <c r="G200" s="14">
        <f t="shared" si="11"/>
        <v>1.617093677375096</v>
      </c>
      <c r="H200" s="14">
        <f t="shared" si="11"/>
        <v>0.8728668912445333</v>
      </c>
      <c r="I200" s="14">
        <f t="shared" si="11"/>
        <v>0.5116585463569641</v>
      </c>
      <c r="J200" s="14">
        <f t="shared" si="11"/>
        <v>0.2095753405878124</v>
      </c>
      <c r="K200" s="14">
        <f t="shared" si="11"/>
        <v>0.1010683548359435</v>
      </c>
    </row>
    <row r="201" spans="2:11" ht="13.5">
      <c r="B201" s="17"/>
      <c r="D201" s="14"/>
      <c r="E201" s="14"/>
      <c r="F201" s="14"/>
      <c r="G201" s="14"/>
      <c r="H201" s="14"/>
      <c r="I201" s="14"/>
      <c r="J201" s="14"/>
      <c r="K201" s="14"/>
    </row>
    <row r="202" spans="2:11" ht="13.5">
      <c r="B202" s="17"/>
      <c r="D202" s="14"/>
      <c r="E202" s="14"/>
      <c r="F202" s="14"/>
      <c r="G202" s="14"/>
      <c r="H202" s="14"/>
      <c r="I202" s="14"/>
      <c r="J202" s="14"/>
      <c r="K202" s="14"/>
    </row>
    <row r="203" spans="2:10" ht="14.25">
      <c r="B203" s="17"/>
      <c r="C203" s="79" t="s">
        <v>60</v>
      </c>
      <c r="D203" s="110" t="s">
        <v>104</v>
      </c>
      <c r="E203" s="59"/>
      <c r="F203" s="59"/>
      <c r="G203" s="59"/>
      <c r="H203" s="59"/>
      <c r="I203" s="59"/>
      <c r="J203" s="60"/>
    </row>
    <row r="204" spans="2:10" ht="14.25">
      <c r="B204" s="17"/>
      <c r="C204" s="79"/>
      <c r="D204" s="110" t="s">
        <v>103</v>
      </c>
      <c r="E204" s="59"/>
      <c r="F204" s="59"/>
      <c r="G204" s="59"/>
      <c r="H204" s="59"/>
      <c r="I204" s="59"/>
      <c r="J204" s="60"/>
    </row>
    <row r="205" spans="2:10" ht="14.25">
      <c r="B205" s="17"/>
      <c r="C205" s="79"/>
      <c r="D205" s="110" t="s">
        <v>107</v>
      </c>
      <c r="E205" s="59"/>
      <c r="F205" s="59"/>
      <c r="G205" s="59"/>
      <c r="H205" s="59"/>
      <c r="I205" s="59"/>
      <c r="J205" s="60"/>
    </row>
    <row r="206" spans="2:10" ht="14.25">
      <c r="B206" s="17"/>
      <c r="C206" s="79"/>
      <c r="D206" s="110" t="s">
        <v>105</v>
      </c>
      <c r="E206" s="59"/>
      <c r="F206" s="59"/>
      <c r="G206" s="59"/>
      <c r="H206" s="59"/>
      <c r="I206" s="59"/>
      <c r="J206" s="60"/>
    </row>
    <row r="207" spans="2:10" ht="14.25">
      <c r="B207" s="17"/>
      <c r="C207" s="78"/>
      <c r="D207" s="110"/>
      <c r="E207" s="59"/>
      <c r="F207" s="59"/>
      <c r="G207" s="59"/>
      <c r="H207" s="59"/>
      <c r="I207" s="59"/>
      <c r="J207" s="60"/>
    </row>
    <row r="208" spans="2:10" ht="14.25">
      <c r="B208" s="17"/>
      <c r="C208" s="79" t="s">
        <v>77</v>
      </c>
      <c r="D208" s="110" t="s">
        <v>128</v>
      </c>
      <c r="E208" s="59"/>
      <c r="F208" s="59"/>
      <c r="G208" s="59"/>
      <c r="H208" s="59"/>
      <c r="I208" s="59"/>
      <c r="J208" s="60"/>
    </row>
    <row r="209" spans="2:10" ht="14.25">
      <c r="B209" s="17"/>
      <c r="C209" s="79"/>
      <c r="D209" s="110" t="s">
        <v>103</v>
      </c>
      <c r="E209" s="59"/>
      <c r="F209" s="59"/>
      <c r="G209" s="59"/>
      <c r="H209" s="59"/>
      <c r="I209" s="59"/>
      <c r="J209" s="60"/>
    </row>
    <row r="210" spans="2:10" ht="14.25">
      <c r="B210" s="17"/>
      <c r="C210" s="79"/>
      <c r="D210" s="110" t="s">
        <v>106</v>
      </c>
      <c r="E210" s="59"/>
      <c r="F210" s="59"/>
      <c r="G210" s="59"/>
      <c r="H210" s="59"/>
      <c r="I210" s="59"/>
      <c r="J210" s="60"/>
    </row>
    <row r="211" spans="2:10" ht="14.25">
      <c r="B211" s="17"/>
      <c r="C211" s="79"/>
      <c r="D211" s="110" t="s">
        <v>105</v>
      </c>
      <c r="E211" s="59"/>
      <c r="F211" s="59"/>
      <c r="G211" s="59"/>
      <c r="H211" s="59"/>
      <c r="I211" s="59"/>
      <c r="J211" s="60"/>
    </row>
    <row r="212" spans="2:10" ht="14.25">
      <c r="B212" s="17"/>
      <c r="C212" s="78"/>
      <c r="D212" s="110"/>
      <c r="E212" s="59"/>
      <c r="F212" s="59"/>
      <c r="G212" s="59"/>
      <c r="H212" s="59"/>
      <c r="I212" s="59"/>
      <c r="J212" s="60"/>
    </row>
    <row r="213" spans="2:10" ht="14.25">
      <c r="B213" s="17"/>
      <c r="C213" s="79" t="s">
        <v>55</v>
      </c>
      <c r="D213" s="110" t="s">
        <v>56</v>
      </c>
      <c r="E213" s="59"/>
      <c r="F213" s="59"/>
      <c r="G213" s="59"/>
      <c r="H213" s="59"/>
      <c r="I213" s="59"/>
      <c r="J213" s="60"/>
    </row>
    <row r="214" spans="2:10" ht="14.25">
      <c r="B214" s="17"/>
      <c r="C214" s="79"/>
      <c r="D214" s="110"/>
      <c r="E214" s="59"/>
      <c r="F214" s="59"/>
      <c r="G214" s="59"/>
      <c r="H214" s="59"/>
      <c r="I214" s="59"/>
      <c r="J214" s="60"/>
    </row>
    <row r="215" spans="2:10" ht="14.25">
      <c r="B215" s="17"/>
      <c r="C215" s="79" t="s">
        <v>62</v>
      </c>
      <c r="D215" s="110" t="s">
        <v>57</v>
      </c>
      <c r="E215" s="59"/>
      <c r="F215" s="59"/>
      <c r="G215" s="59"/>
      <c r="H215" s="59"/>
      <c r="I215" s="59"/>
      <c r="J215" s="60"/>
    </row>
    <row r="216" spans="2:10" ht="14.25">
      <c r="B216" s="17"/>
      <c r="C216" s="79"/>
      <c r="D216" s="110"/>
      <c r="E216" s="59"/>
      <c r="F216" s="59"/>
      <c r="G216" s="59"/>
      <c r="H216" s="59"/>
      <c r="I216" s="59"/>
      <c r="J216" s="60"/>
    </row>
    <row r="217" spans="2:10" ht="14.25">
      <c r="B217" s="17"/>
      <c r="C217" s="79" t="s">
        <v>63</v>
      </c>
      <c r="D217" s="110" t="s">
        <v>58</v>
      </c>
      <c r="E217" s="59"/>
      <c r="F217" s="59"/>
      <c r="G217" s="59"/>
      <c r="H217" s="59"/>
      <c r="I217" s="59"/>
      <c r="J217" s="60"/>
    </row>
    <row r="218" spans="2:10" ht="14.25">
      <c r="B218" s="17"/>
      <c r="C218" s="79"/>
      <c r="D218" s="110"/>
      <c r="E218" s="59"/>
      <c r="F218" s="59"/>
      <c r="G218" s="59"/>
      <c r="H218" s="59"/>
      <c r="I218" s="59"/>
      <c r="J218" s="60"/>
    </row>
    <row r="219" spans="2:10" ht="14.25">
      <c r="B219" s="17"/>
      <c r="C219" s="78" t="s">
        <v>11</v>
      </c>
      <c r="D219" s="110" t="s">
        <v>49</v>
      </c>
      <c r="E219" s="59"/>
      <c r="F219" s="59"/>
      <c r="G219" s="59"/>
      <c r="H219" s="59"/>
      <c r="I219" s="59"/>
      <c r="J219" s="60"/>
    </row>
    <row r="220" spans="2:10" ht="14.25">
      <c r="B220" s="17"/>
      <c r="C220" s="78"/>
      <c r="D220" s="59"/>
      <c r="E220" s="59"/>
      <c r="F220" s="59"/>
      <c r="G220" s="59"/>
      <c r="H220" s="59"/>
      <c r="I220" s="59"/>
      <c r="J220" s="60"/>
    </row>
    <row r="221" spans="2:10" ht="17.25">
      <c r="B221" s="17"/>
      <c r="C221" s="79" t="s">
        <v>101</v>
      </c>
      <c r="D221" s="110" t="s">
        <v>127</v>
      </c>
      <c r="E221" s="59"/>
      <c r="F221" s="59"/>
      <c r="G221" s="59"/>
      <c r="H221" s="59"/>
      <c r="I221" s="59"/>
      <c r="J221" s="60"/>
    </row>
    <row r="222" spans="2:10" ht="14.25">
      <c r="B222" s="17"/>
      <c r="C222" s="77"/>
      <c r="D222" s="110" t="s">
        <v>46</v>
      </c>
      <c r="E222" s="59"/>
      <c r="F222" s="59"/>
      <c r="G222" s="59"/>
      <c r="H222" s="59"/>
      <c r="I222" s="59"/>
      <c r="J222" s="60"/>
    </row>
    <row r="223" spans="2:10" ht="14.25">
      <c r="B223" s="17"/>
      <c r="C223" s="77"/>
      <c r="D223" s="110" t="s">
        <v>102</v>
      </c>
      <c r="E223" s="59"/>
      <c r="F223" s="59"/>
      <c r="G223" s="59"/>
      <c r="H223" s="59"/>
      <c r="I223" s="59"/>
      <c r="J223" s="60"/>
    </row>
    <row r="224" spans="2:10" ht="14.25">
      <c r="B224" s="17"/>
      <c r="C224" s="77"/>
      <c r="D224" s="59" t="s">
        <v>48</v>
      </c>
      <c r="E224" s="59"/>
      <c r="F224" s="59"/>
      <c r="G224" s="59"/>
      <c r="H224" s="59"/>
      <c r="I224" s="59"/>
      <c r="J224" s="60"/>
    </row>
    <row r="225" spans="2:10" ht="14.25">
      <c r="B225" s="17"/>
      <c r="C225" s="77"/>
      <c r="D225" s="110" t="s">
        <v>47</v>
      </c>
      <c r="E225" s="59"/>
      <c r="F225" s="59"/>
      <c r="G225" s="59"/>
      <c r="H225" s="59"/>
      <c r="I225" s="59"/>
      <c r="J225" s="60"/>
    </row>
    <row r="226" spans="2:10" ht="14.25">
      <c r="B226" s="17"/>
      <c r="C226" s="77"/>
      <c r="D226" s="59"/>
      <c r="E226" s="59"/>
      <c r="F226" s="59"/>
      <c r="G226" s="59"/>
      <c r="H226" s="59"/>
      <c r="I226" s="59"/>
      <c r="J226" s="60"/>
    </row>
    <row r="227" spans="2:10" ht="14.25">
      <c r="B227" s="17"/>
      <c r="C227" s="80" t="s">
        <v>61</v>
      </c>
      <c r="D227" s="110" t="s">
        <v>65</v>
      </c>
      <c r="E227" s="59"/>
      <c r="F227" s="59"/>
      <c r="G227" s="59"/>
      <c r="H227" s="59"/>
      <c r="I227" s="59"/>
      <c r="J227" s="60"/>
    </row>
    <row r="228" spans="2:10" ht="14.25">
      <c r="B228" s="17"/>
      <c r="C228" s="77"/>
      <c r="D228" s="59"/>
      <c r="E228" s="59"/>
      <c r="F228" s="59"/>
      <c r="G228" s="59"/>
      <c r="H228" s="59"/>
      <c r="I228" s="59"/>
      <c r="J228" s="60"/>
    </row>
    <row r="229" spans="2:10" ht="14.25">
      <c r="B229" s="17"/>
      <c r="C229" s="80" t="s">
        <v>45</v>
      </c>
      <c r="D229" s="110" t="s">
        <v>50</v>
      </c>
      <c r="E229" s="59"/>
      <c r="F229" s="59"/>
      <c r="G229" s="59"/>
      <c r="H229" s="59"/>
      <c r="I229" s="59"/>
      <c r="J229" s="60"/>
    </row>
  </sheetData>
  <sheetProtection password="C696" sheet="1"/>
  <mergeCells count="63">
    <mergeCell ref="B144:K144"/>
    <mergeCell ref="E122:K122"/>
    <mergeCell ref="E123:K123"/>
    <mergeCell ref="E124:K124"/>
    <mergeCell ref="E129:K129"/>
    <mergeCell ref="B130:K130"/>
    <mergeCell ref="G131:K131"/>
    <mergeCell ref="B114:C114"/>
    <mergeCell ref="B94:K94"/>
    <mergeCell ref="B76:K76"/>
    <mergeCell ref="B95:K95"/>
    <mergeCell ref="B56:K56"/>
    <mergeCell ref="B57:K57"/>
    <mergeCell ref="I100:K100"/>
    <mergeCell ref="I101:K101"/>
    <mergeCell ref="I102:K102"/>
    <mergeCell ref="B104:C104"/>
    <mergeCell ref="B117:C117"/>
    <mergeCell ref="B105:C105"/>
    <mergeCell ref="C47:K47"/>
    <mergeCell ref="B74:K74"/>
    <mergeCell ref="B73:K73"/>
    <mergeCell ref="B71:K71"/>
    <mergeCell ref="C48:K48"/>
    <mergeCell ref="C51:K51"/>
    <mergeCell ref="B106:C106"/>
    <mergeCell ref="B75:K75"/>
    <mergeCell ref="C33:K33"/>
    <mergeCell ref="C32:K32"/>
    <mergeCell ref="C26:K26"/>
    <mergeCell ref="B53:K53"/>
    <mergeCell ref="B54:K54"/>
    <mergeCell ref="B72:K72"/>
    <mergeCell ref="B70:K70"/>
    <mergeCell ref="B52:K52"/>
    <mergeCell ref="B19:K19"/>
    <mergeCell ref="B17:K17"/>
    <mergeCell ref="C22:K22"/>
    <mergeCell ref="C21:K21"/>
    <mergeCell ref="C31:K31"/>
    <mergeCell ref="C23:K23"/>
    <mergeCell ref="C24:K24"/>
    <mergeCell ref="C27:K27"/>
    <mergeCell ref="B185:K185"/>
    <mergeCell ref="B186:K186"/>
    <mergeCell ref="B2:I4"/>
    <mergeCell ref="B5:K5"/>
    <mergeCell ref="B6:K6"/>
    <mergeCell ref="B9:K9"/>
    <mergeCell ref="B10:K10"/>
    <mergeCell ref="J2:K2"/>
    <mergeCell ref="B12:K12"/>
    <mergeCell ref="C29:K29"/>
    <mergeCell ref="B7:K7"/>
    <mergeCell ref="B16:K16"/>
    <mergeCell ref="B8:K8"/>
    <mergeCell ref="B11:K11"/>
    <mergeCell ref="B184:K184"/>
    <mergeCell ref="C25:K25"/>
    <mergeCell ref="B13:K13"/>
    <mergeCell ref="B15:K15"/>
    <mergeCell ref="B14:K14"/>
    <mergeCell ref="B18:K18"/>
  </mergeCells>
  <hyperlinks>
    <hyperlink ref="C29:K29" r:id="rId1" display="Click here to see the CFM Requirements Table"/>
  </hyperlinks>
  <printOptions/>
  <pageMargins left="0.75" right="0.75" top="1" bottom="1" header="0.5" footer="0.5"/>
  <pageSetup horizontalDpi="360" verticalDpi="360" orientation="portrait" scale="82" r:id="rId3"/>
  <drawing r:id="rId2"/>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selection activeCell="R29" sqref="R29"/>
    </sheetView>
  </sheetViews>
  <sheetFormatPr defaultColWidth="9.00390625" defaultRowHeight="14.25"/>
  <sheetData>
    <row r="1" ht="13.5">
      <c r="A1" t="s">
        <v>129</v>
      </c>
    </row>
    <row r="5" ht="14.25">
      <c r="A5" t="s">
        <v>115</v>
      </c>
    </row>
    <row r="6" spans="2:4" ht="14.25">
      <c r="B6" t="s">
        <v>116</v>
      </c>
      <c r="C6" t="s">
        <v>117</v>
      </c>
      <c r="D6" t="s">
        <v>118</v>
      </c>
    </row>
    <row r="7" spans="1:4" ht="14.25">
      <c r="A7">
        <v>3</v>
      </c>
      <c r="B7">
        <v>5</v>
      </c>
      <c r="C7">
        <v>3</v>
      </c>
      <c r="D7">
        <v>3</v>
      </c>
    </row>
    <row r="8" spans="1:4" ht="14.25">
      <c r="A8">
        <v>4</v>
      </c>
      <c r="B8">
        <v>6</v>
      </c>
      <c r="C8">
        <v>4</v>
      </c>
      <c r="D8">
        <v>4</v>
      </c>
    </row>
    <row r="9" spans="1:4" ht="14.25">
      <c r="A9">
        <v>5</v>
      </c>
      <c r="B9">
        <v>9</v>
      </c>
      <c r="C9">
        <v>6</v>
      </c>
      <c r="D9">
        <v>5</v>
      </c>
    </row>
    <row r="10" spans="1:4" ht="14.25">
      <c r="A10">
        <v>6</v>
      </c>
      <c r="B10">
        <v>12</v>
      </c>
      <c r="C10">
        <v>7</v>
      </c>
      <c r="D10">
        <v>6</v>
      </c>
    </row>
    <row r="11" spans="1:4" ht="14.25">
      <c r="A11">
        <v>7</v>
      </c>
      <c r="B11">
        <v>13</v>
      </c>
      <c r="C11">
        <v>9</v>
      </c>
      <c r="D11">
        <v>7</v>
      </c>
    </row>
    <row r="12" spans="1:4" ht="14.25">
      <c r="A12">
        <v>8</v>
      </c>
      <c r="B12">
        <v>15</v>
      </c>
      <c r="C12">
        <v>10</v>
      </c>
      <c r="D12">
        <v>8</v>
      </c>
    </row>
    <row r="13" spans="1:4" ht="14.25">
      <c r="A13">
        <v>10</v>
      </c>
      <c r="B13">
        <v>20</v>
      </c>
      <c r="C13">
        <v>14</v>
      </c>
      <c r="D13">
        <v>11</v>
      </c>
    </row>
    <row r="14" spans="1:4" ht="14.25">
      <c r="A14">
        <v>12</v>
      </c>
      <c r="B14">
        <v>25</v>
      </c>
      <c r="C14">
        <v>17</v>
      </c>
      <c r="D14">
        <v>14</v>
      </c>
    </row>
    <row r="32" spans="1:2" ht="14.25">
      <c r="A32" t="s">
        <v>119</v>
      </c>
      <c r="B32" t="s">
        <v>120</v>
      </c>
    </row>
    <row r="34" spans="1:2" ht="14.25">
      <c r="A34">
        <v>4</v>
      </c>
      <c r="B34">
        <v>5</v>
      </c>
    </row>
    <row r="35" spans="1:2" ht="14.25">
      <c r="A35">
        <v>6</v>
      </c>
      <c r="B35">
        <v>7</v>
      </c>
    </row>
    <row r="36" spans="1:2" ht="14.25">
      <c r="A36">
        <v>8</v>
      </c>
      <c r="B36">
        <v>11</v>
      </c>
    </row>
    <row r="37" spans="1:2" ht="14.25">
      <c r="A37">
        <v>10</v>
      </c>
      <c r="B37">
        <v>14</v>
      </c>
    </row>
    <row r="38" spans="1:2" ht="14.25">
      <c r="A38">
        <v>12</v>
      </c>
      <c r="B38">
        <v>17</v>
      </c>
    </row>
  </sheetData>
  <sheetProtection password="C696" sheet="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Static Pressure Calculator</dc:title>
  <dc:subject/>
  <dc:creator>Sudy/Pentz</dc:creator>
  <cp:keywords/>
  <dc:description/>
  <cp:lastModifiedBy>Bill</cp:lastModifiedBy>
  <dcterms:created xsi:type="dcterms:W3CDTF">2002-05-03T04:40:14Z</dcterms:created>
  <dcterms:modified xsi:type="dcterms:W3CDTF">2014-05-13T16:57:03Z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